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<sst xmlns="http://schemas.openxmlformats.org/spreadsheetml/2006/main" uniqueCount="841">
  <si>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</si>
  <si>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</si>
  <si>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</si>
  <si>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</si>
  <si>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</si>
  <si>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</si>
  <si>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</si>
  <si>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</si>
  <si>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</si>
  <si>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</si>
  <si>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</si>
  <si>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</si>
  <si>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</si>
  <si>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Манометр Navien Ace 30002309A</t>
  </si>
  <si>
    <t>Труба d14 выход горячей воды Immergas 1.022862</t>
  </si>
  <si>
    <t>Коробка подключения</t>
  </si>
  <si>
    <t>Клемма подключения</t>
  </si>
  <si>
    <t>Конденсатор 16 Мкф 60161</t>
  </si>
  <si>
    <t>Конденсатор 20 Мкф 60201</t>
  </si>
  <si>
    <t>Подшипник 201 Мастер-60</t>
  </si>
  <si>
    <t>Подшипник 202 Мастер-80/100</t>
  </si>
  <si>
    <t>Кольцо пружинное d-31мм</t>
  </si>
  <si>
    <t>Сальник вала привода СМ-12 для поверхностных насосов Мастер-Лидер и Мастер-Стандарт 12мм</t>
  </si>
  <si>
    <t>Сальник вала привода СМ-14 для поверхностных насосов Мастер-Лидер и Мастер-Стандарт 14мм</t>
  </si>
  <si>
    <t>Сальник вала привода СМ-16 для поверхностных насосов Мастер-Лидер и Мастер-Стандарт 16мм</t>
  </si>
  <si>
    <t>Эжектор в сборе Лидер 60/80/100</t>
  </si>
  <si>
    <t>Эжектор в сборе Мастер Стандарт 60/80/100</t>
  </si>
  <si>
    <t>Уплотельное кольцо эжектора d19 Мастер Стандарт</t>
  </si>
  <si>
    <t>Корпус насоса Мастер Стандарт</t>
  </si>
  <si>
    <t>Корпус насоса нержавейка Мастер Стандарт</t>
  </si>
  <si>
    <t>Корпус насоса Мастер Лидер</t>
  </si>
  <si>
    <t>Фланец двигателя 60Ч Мастер</t>
  </si>
  <si>
    <t>Фланец двигателя 80/100 Ч Мастер</t>
  </si>
  <si>
    <t>Фланец двигателя Мастер Стандарт 80/100 круглый</t>
  </si>
  <si>
    <t>Тарелка насоса Мастер 80/100 нержавейка</t>
  </si>
  <si>
    <t>Ротор Мастер Стандарт/Лидер 60 Ч</t>
  </si>
  <si>
    <t>Ротор Мастер Стандарт/Лидер 80 Ч</t>
  </si>
  <si>
    <t>Ротор Мастер Стандарт/Лидер 100 Ч</t>
  </si>
  <si>
    <t>Статор Мастер 60</t>
  </si>
  <si>
    <t>Статор Мастер 80</t>
  </si>
  <si>
    <t>Статор Мастер 100</t>
  </si>
  <si>
    <t>Рабочее колесо насосной станции Мастер 60</t>
  </si>
  <si>
    <t>Рабочее колесо насосной станции Мастер 80/100</t>
  </si>
  <si>
    <t>Крышка двигателя задняя Мастер 60</t>
  </si>
  <si>
    <t>Крышка двигателя задняя Мастер 80/100</t>
  </si>
  <si>
    <t>Вентилятор двигателя Мастер 60</t>
  </si>
  <si>
    <t>Вентилятор двигателя Мастер 80/100</t>
  </si>
  <si>
    <t>Крышка вентилятора Мастер 60</t>
  </si>
  <si>
    <t>Крышка вентилятора Мастер 80/100</t>
  </si>
  <si>
    <t>Шпонка рабочего колеса 310041 Мастер</t>
  </si>
  <si>
    <t>Уплотнительное кольцо фланца Мастер</t>
  </si>
  <si>
    <t>Колосник 22 Дон Конорд</t>
  </si>
  <si>
    <t>Колосник 21Б Дон Конорд</t>
  </si>
  <si>
    <t>Лист топочный Дон КС-31.5</t>
  </si>
  <si>
    <t>Змеевик на котёл Дон 16-31.5 кВт</t>
  </si>
  <si>
    <t>Термометр РТМ-63/55 d63 мм</t>
  </si>
  <si>
    <t>Терморегулятор АГУК-1.5Т  Ду-15</t>
  </si>
  <si>
    <t>Терморегулятор АГУК-2Т  Ду-20</t>
  </si>
  <si>
    <t>Запальник КСТГ Дон</t>
  </si>
  <si>
    <t>Запальник Пламя</t>
  </si>
  <si>
    <t>Запальник УГОП/АГУК</t>
  </si>
  <si>
    <t>Ремкомплект механического клапана АГУК/УГОП</t>
  </si>
  <si>
    <t>Трубка запальника УГОП-16 L-15см</t>
  </si>
  <si>
    <t>Трубка запальника АГУК-1.5 L-16см</t>
  </si>
  <si>
    <t>Ремкомплект терморегулятора АГУК</t>
  </si>
  <si>
    <t>Клапан отсекатель АГУК-1.5Т</t>
  </si>
  <si>
    <t>Клапан отсекатель УГОП/КСТГ</t>
  </si>
  <si>
    <t>Кран газовый АГУК/УГОП/КСТГ штуцер-гайка</t>
  </si>
  <si>
    <t>Сопло силумин АГУК/УГОП</t>
  </si>
  <si>
    <t>Термометр 45х45</t>
  </si>
  <si>
    <t>Биметаллическая пластина УГОП/АГУК/ДОН</t>
  </si>
  <si>
    <t>Биметаллическая пластина Мимакс</t>
  </si>
  <si>
    <t>Запальник Мимакс</t>
  </si>
  <si>
    <t>Снаряд для горелки АГУ-Т-М Мимакс</t>
  </si>
  <si>
    <t>Кольцо снаряда горелки АГУ-Т-М Мимакс</t>
  </si>
  <si>
    <t>Мембрана термодатчика Мимакс большая</t>
  </si>
  <si>
    <t>Термодатчик на Дон АГУ-ТМ-20-55 L1200 3/4"</t>
  </si>
  <si>
    <t>Термодатчик на Конорд АГУ-ТМ-13 L650 3/4"</t>
  </si>
  <si>
    <t>Термодатчик на Конорд 23ц/28ц/35ц L700 1"</t>
  </si>
  <si>
    <t>Термодатчик на Мимакс 7-23 кВт L470</t>
  </si>
  <si>
    <t>Терморегулятор Дон/АОГВ Ростов-на-Дону</t>
  </si>
  <si>
    <t>Электромагнитный клапан Ростов АОГВ-11.6</t>
  </si>
  <si>
    <t>Термопара АОГВ-11.6/АОГВ-17.4 с 2006 короткая Ростов-на-Дону</t>
  </si>
  <si>
    <t>Термопара АОГВ-11.6/АОГВ-17.4 до 2006 длинная Ростов-на-Дону</t>
  </si>
  <si>
    <t>Термопара АОГВ-23 АОГВ-29 Ростов-на-Дону</t>
  </si>
  <si>
    <t>Термопара АОГВ-35 Ростов-на-Дону</t>
  </si>
  <si>
    <t>Пьезокнопка Sit 630</t>
  </si>
  <si>
    <t>Кабель розжига Sit L400мм</t>
  </si>
  <si>
    <t>Искровой электрод пьезо Sit</t>
  </si>
  <si>
    <t>Пьезокнопка 75082 ЖМЗ 031.0362.00</t>
  </si>
  <si>
    <t>Термометр ВТТ 63х75</t>
  </si>
  <si>
    <t>Кабель датчика тяги 336011 ЖМЗ</t>
  </si>
  <si>
    <t>Термодатчик ТФ 2-2 АОГВ-11.6 с 2000г ЖМЗ</t>
  </si>
  <si>
    <t>Термобаллон-сильфон 364003 с гайкой с 2002г ЖМЗ</t>
  </si>
  <si>
    <t>Термобаллон-сильфон 301008 с гайкой до 2002г ЖМЗ</t>
  </si>
  <si>
    <t>Термопара 364006 АОГВ 17-29 до 2003 г ЖМЗ</t>
  </si>
  <si>
    <t>Термопара 364018 (аналог 364022)АОГВ 17-29 с 2004 г ЖМЗ</t>
  </si>
  <si>
    <t>Термопара 301059 АОГВ 17-29 до 2002 г ЖМЗ</t>
  </si>
  <si>
    <t>Термопара 301002 АОГВ 17-23 до 1996 г ЖМЗ</t>
  </si>
  <si>
    <t>Термопара 390005 АОГВ-11.6 с 2004 г ЖМЗ</t>
  </si>
  <si>
    <t>Термопара 336006 АОГВ-11.6 до 2004 г ЖМЗ</t>
  </si>
  <si>
    <t>Термопара 416005 АОГВ 17-29 универсал САБК ЖМЗ</t>
  </si>
  <si>
    <t>Термопара 376004 АОГВ 17-23 Honeywell до 2002 г ЖМЗ</t>
  </si>
  <si>
    <t>Прерыватель тяги 336004 АОГВ-11.6 ЖМЗ</t>
  </si>
  <si>
    <t>Прерыватель тяги 301020 АОГВ-17-23 ЖМЗ</t>
  </si>
  <si>
    <t>Турбулятор 61501 АОГВ-11.6 ЖМЗ</t>
  </si>
  <si>
    <t>Турбулятор 61502 АОГВ 17-29 ЖМЗ</t>
  </si>
  <si>
    <t>Уплотнение штока 301056 ЖМЗ</t>
  </si>
  <si>
    <t>Прокладка 364015 для АОГВ 11-29 с 2004 г ЖМЗ</t>
  </si>
  <si>
    <t>Заслонка тягопрерывателя 301024 ЖМЗ</t>
  </si>
  <si>
    <t>Сопло ЖМЗ 301055 под сжиженный газ</t>
  </si>
  <si>
    <t>Термопара 265 мм Арбат М8</t>
  </si>
  <si>
    <t>Термопара 345 мм Арбат М8</t>
  </si>
  <si>
    <t>Термопара 355 мм Арбат М8</t>
  </si>
  <si>
    <t>Термопара 400 мм Sit М9 А3</t>
  </si>
  <si>
    <t>Термопара 600 мм Арбат М8</t>
  </si>
  <si>
    <t>Термопара 800 мм Арбат М8</t>
  </si>
  <si>
    <t>Термопара 900 мм Арбат М8</t>
  </si>
  <si>
    <t>Термопара 1000 мм Арбат М8</t>
  </si>
  <si>
    <t>Термопара М8 проводная Боринское</t>
  </si>
  <si>
    <t>Термопара М9 проводная Боринское</t>
  </si>
  <si>
    <t>Термопара 700 мм Арбат М9</t>
  </si>
  <si>
    <t>Термопара 950 мм Арбат М9</t>
  </si>
  <si>
    <t>Датчик тяги Арбат старый</t>
  </si>
  <si>
    <t>Сильфон L-1000мм с гайкой Арбат</t>
  </si>
  <si>
    <t>Термометр УТ-120 Мимакс L-500 мм</t>
  </si>
  <si>
    <t>Термопарный генератор ТГ-4 Q313A 1022В 86527 Honeywell</t>
  </si>
  <si>
    <t>ДПТЭК Датчик предельной температуры электроконтактный Сигнал</t>
  </si>
  <si>
    <t>ДТЭК Датчик электроконтактный Сигнал</t>
  </si>
  <si>
    <t>Колосник КСТГ Мимакс</t>
  </si>
  <si>
    <t>Трубка запальника ЖМЗ 428005 АОГВ 17-23 Универсал</t>
  </si>
  <si>
    <t>Коробка магнитная 301013 Универсал ЖМЗ</t>
  </si>
  <si>
    <t>Теплообменник ВПГ-18 Астра</t>
  </si>
  <si>
    <t>Теплообменник ВПГ-21 Астра</t>
  </si>
  <si>
    <t>Водяной блок ВПГ Астра</t>
  </si>
  <si>
    <t>Мембрана ВПГ Астра</t>
  </si>
  <si>
    <t>Термопара ВПГ Астра 2-х проводная</t>
  </si>
  <si>
    <t>Теплообменник ВПГ НЕВА-4510 3227-03.000 до 2015г</t>
  </si>
  <si>
    <t>Микровыключатель ВПГ ВЕСТ</t>
  </si>
  <si>
    <t>Выключатель ВПГ ВЕСТ</t>
  </si>
  <si>
    <t>ЭМК электромагнитный клапан ВПГ ВЕСТ</t>
  </si>
  <si>
    <t>Дисплей LCD ВПГ ВЕСТ</t>
  </si>
  <si>
    <t>Дисплей LCD ВПГ ВЕСТ NEW</t>
  </si>
  <si>
    <t>Мембрана водяного блока ВПГ 5-12л  ВЕСТ</t>
  </si>
  <si>
    <t>Ручка регулировки малая ВПГ ВЕСТ</t>
  </si>
  <si>
    <t>Жиклер на сжиженный газ ВПГ ВЕСТ</t>
  </si>
  <si>
    <t>Жиклер на природный газ ВПГ ВЕСТ</t>
  </si>
  <si>
    <t>Теплообменник ВПГ 5-6л ВЕСТ</t>
  </si>
  <si>
    <t>Теплообменник ВПГ 8л ВЕСТ</t>
  </si>
  <si>
    <t>Теплообменник ВПГ 12л ВЕСТ</t>
  </si>
  <si>
    <t>Горелка ВПГ 8л ВЕСТ</t>
  </si>
  <si>
    <t>Горелка ВПГ 10л ВЕСТ</t>
  </si>
  <si>
    <t>Горелка ВПГ 12л ВЕСТ</t>
  </si>
  <si>
    <t>Газовый блок ВПГ 8л ВЕСТ</t>
  </si>
  <si>
    <t>Газовый блок ВПГ 10л ВЕСТ</t>
  </si>
  <si>
    <t>Газовый блок ВПГ 12л ВЕСТ</t>
  </si>
  <si>
    <t>Газовый блок ВПГ 14л ВЕСТ</t>
  </si>
  <si>
    <t>Газовый блок ВПГ 16л ВЕСТ</t>
  </si>
  <si>
    <t>Мембрана клапана Мимакс</t>
  </si>
  <si>
    <t>Блок терморегулятора 364008 ЖМЗ</t>
  </si>
  <si>
    <t>Трубка запальника ЖМЗ 431005 АОГВ-11.6 Универсал</t>
  </si>
  <si>
    <t>Тарелка диафрагмы ВПГ 10-12л ВЕСТ</t>
  </si>
  <si>
    <t>Электромагнитный клапан Арбат, Орион c 2007г d-14</t>
  </si>
  <si>
    <t>Трубка запальника ЖМЗ 364021 АОГВ 17-29 Эконом с 2011 г</t>
  </si>
  <si>
    <t>Электромагнитный клапан Арбат/Орион до 2007г d-16</t>
  </si>
  <si>
    <t>Термопара 375009 АОГВ 17-23 Honeywell 2004 г ЖМЗ</t>
  </si>
  <si>
    <t>Термопара 381008 АОГВ-11.6 Honeywell c 2004 г ЖМЗ</t>
  </si>
  <si>
    <t>Термопара 378003 АОГВ 43-50 с 2003 г ЖМЗ</t>
  </si>
  <si>
    <t>Микровыключатель ВПГ НЕВА 4510/4511 3227-02.330</t>
  </si>
  <si>
    <t>ТЭН для электроплиты 1000 Вт 701004</t>
  </si>
  <si>
    <t>Ротор Мастер Стандарт 80-Н</t>
  </si>
  <si>
    <t>Ротор Мастер Стандарт 100-Н</t>
  </si>
  <si>
    <t>Кольцо d2.8х1.8 газоводяного штока ВПГ НЕВА</t>
  </si>
  <si>
    <t>Ремкомплект ВПГ-18 ВПГ-20 ВПГ-23 Нева 3208</t>
  </si>
  <si>
    <t>Ремкомплект ВПГ Астра 8910-10 с 2002г</t>
  </si>
  <si>
    <t>Конфорка ЭКЧ 1000 Вт D-145 с нержавеющим ободом 614510</t>
  </si>
  <si>
    <t>Термопара 320 мм Sit М9 А1</t>
  </si>
  <si>
    <t>Термопрерыватель Sit 0.974.402</t>
  </si>
  <si>
    <t>Термопара 431004 АОГВ-11.6 Sit ЖМЗ</t>
  </si>
  <si>
    <t>Термопара 428004 АОГВ 17-23 Sit ЖМЗ</t>
  </si>
  <si>
    <t>Термопара 600 мм Sit М9 А1</t>
  </si>
  <si>
    <t>Трубка запальника Пламя-20 L-200мм</t>
  </si>
  <si>
    <t>Электрод 83488 ЖМЗ</t>
  </si>
  <si>
    <t>Датчик NTC ГВС накладной Immergas 1.025380 аналог 1.028395</t>
  </si>
  <si>
    <t>Плата управления Nike/Eolo Star Immergas 1.025378</t>
  </si>
  <si>
    <t>Плата управления Mini Nike/Eolo 24 3E/X Immergas 1.034271 аналог 1.027737</t>
  </si>
  <si>
    <t>Термостат 100*С Nike/Eolo Star/Mythos Immergas 1.025797</t>
  </si>
  <si>
    <t>Теплообменник ВПГ 16л ВЕСТ</t>
  </si>
  <si>
    <t>Электрод контроля пламени горелки ВПГ ВЕСТ</t>
  </si>
  <si>
    <t>Сальник штока водяного блока ВПГ ВЕСТ d5мм</t>
  </si>
  <si>
    <t>Недельный термостат Crono-7 проводной Immergas 3.021622</t>
  </si>
  <si>
    <t>Пульт дистанционного управления CAR V2 Immergas 3.021395</t>
  </si>
  <si>
    <t>Термометр БТ-51/70 Росма d100мм</t>
  </si>
  <si>
    <t>Термометр БТ-30 d63мм скоба</t>
  </si>
  <si>
    <t>Водяной блок НЕВА 4510,4511,VilTerm 3227-02.270/1101-08.310</t>
  </si>
  <si>
    <t>Плата управления Nike/EOLO Star 23 Immergas 1.023947</t>
  </si>
  <si>
    <t>Термостат комнатный Immergas 3.012287</t>
  </si>
  <si>
    <t>Электромагнитный клапан TGV</t>
  </si>
  <si>
    <t>Колосник КСТ-12.5 Мозырь</t>
  </si>
  <si>
    <t>Ремкомплект водяного блока КГИ-56</t>
  </si>
  <si>
    <t>Плата управления Nike/Eolo Mini 24/28 Immergas 1.024038</t>
  </si>
  <si>
    <t>Кран подпитки Nike/Eolo Star 24 3E, Mini Nike/Eolo 24/28 Immergas 3.018806</t>
  </si>
  <si>
    <t>Ремкомплект трехходового клапана Mini Nike/Eolo Immergas 3.013125</t>
  </si>
  <si>
    <t>Сопло латунное АГУК/УГОП</t>
  </si>
  <si>
    <t>Кнопка КМ 1-1 малогабаритная 88074 ЖМЗ</t>
  </si>
  <si>
    <t>Термостат регулируемый TR-2 540355 Sit 820 Nova</t>
  </si>
  <si>
    <t>Мембрана 301028 ЖМЗ</t>
  </si>
  <si>
    <t>Мембрана ВПГ НЕВА 4510/4511 3227-02.278 до 2014г d76мм</t>
  </si>
  <si>
    <t>Прокладка 301021 для АОГВ-11.6 ЖМЗ</t>
  </si>
  <si>
    <t>Клапан 3-х ходовой Navien 30015423A</t>
  </si>
  <si>
    <t>Датчик по перегреву Navien Deluxe 13-30 30002564A</t>
  </si>
  <si>
    <t>Вентилятор Navien Асе 30-35, Асе Coaxial 13-30 30005562C</t>
  </si>
  <si>
    <t>Манометр Navien Deluxe 30002308C</t>
  </si>
  <si>
    <t>Вентилятор Eolo Star 24 3E Immergas 1.044632 аналог 1.025794</t>
  </si>
  <si>
    <t>Циркуляционный насос Navien Deluxe 13-40К 3000469B</t>
  </si>
  <si>
    <t>Расширительный бак Navien Coaxial 13-30К 30003945G</t>
  </si>
  <si>
    <t>Теплообменник Navien Deluxe/ACE 30К 30012860C</t>
  </si>
  <si>
    <t>Датчик протока отопления Navien 13-40 30002724C</t>
  </si>
  <si>
    <t>Электроды розжига в сборе Navien АСЕ 13-30К 30003875C</t>
  </si>
  <si>
    <t>Датчик протока ГВС Mini Eolo/Nike 24/28 Immergas 1.023514</t>
  </si>
  <si>
    <t>Газовый клапан Navien АСЕ 30002197A</t>
  </si>
  <si>
    <t>Коллектор для сжиженного газа Navien Deluxe,Ace 13-24К Coaxial 30014731B</t>
  </si>
  <si>
    <t>Блок ТЭНов 6кВт для Мимакс Титан</t>
  </si>
  <si>
    <t>Трубка запальника ЖМЗ 381007 АОГВ-11.6 Комфорт с 2004 г</t>
  </si>
  <si>
    <t>Датчик температуры ГВС Navien 13-40 30002643A</t>
  </si>
  <si>
    <t>Датчик давления воздуха Navien ACE,Deluxe Coaxial 30000660B</t>
  </si>
  <si>
    <t>Трансформатор розжига Deluxe Navien 30002474D</t>
  </si>
  <si>
    <t>Ротор Мастер Стандарт 60-Н</t>
  </si>
  <si>
    <t>Теплообменник ГВС Navien Асе 24К, АТМО 20-24А 30004997A</t>
  </si>
  <si>
    <t>Трубка запальника 20см газоподвод Мимакс</t>
  </si>
  <si>
    <t>Пульт дистанционного управления NR-30S Navien Prime 30012968A</t>
  </si>
  <si>
    <t>Воздухоотводчик насоса Navien 30014451A</t>
  </si>
  <si>
    <t>Расширительный бак Navien AТМО 13-24А 30003960A</t>
  </si>
  <si>
    <t>Тэн 1,2 кВт сухой 201504</t>
  </si>
  <si>
    <t>Тэн прижимной 1,5 кВт М5 RCA длинная клемма 30716</t>
  </si>
  <si>
    <t>Тэн прижимной 1,5 кВт М6 RCF короткая клемма 30461</t>
  </si>
  <si>
    <t>Тэн прижимной 2,0 кВт М5 RCA длинная клемма 20026</t>
  </si>
  <si>
    <t>Тэн прижимной 2,0 кВт М6 RCF кототкая клема 30271</t>
  </si>
  <si>
    <t>Тэн RF64 0.7 кВт М4 Термекс 20046</t>
  </si>
  <si>
    <t>Тэн RF64 0.7 кВт М4 с анодом Термекс 20086</t>
  </si>
  <si>
    <t>Тэн RF64 1,3 кВт М4 Термекс 20047</t>
  </si>
  <si>
    <t>Тэн RF64 1,3 кВт М4 с анодом Термекс 20087</t>
  </si>
  <si>
    <t>Тэн RF64 2,0 кВт М4 Термекс 20116</t>
  </si>
  <si>
    <t>Тэн RF64 двойной 0.7+1.3 кВт М4 Термекс 20042</t>
  </si>
  <si>
    <t>Тэн RF82 1,5 кВт М6 10-15л Термекс 10182</t>
  </si>
  <si>
    <t>Тэн RF82 1,5 кВт М6 30-150л Термекс 20079</t>
  </si>
  <si>
    <t>Тэн резьбовой 1,2 кВт с термостатом RDT С50305</t>
  </si>
  <si>
    <t>Тэн резьбовой 1.5 кВт с термостатом RDT С50301</t>
  </si>
  <si>
    <t>Тэн резьбовой 1.5 кВт М6 RDT 30291</t>
  </si>
  <si>
    <t>Тэн резьбовой 2.0 кВт с термостатом RDT С50302</t>
  </si>
  <si>
    <t>Тэн резьбовой 2.0 кВт М6 RDT 30220</t>
  </si>
  <si>
    <t>Тэн резьбовой 2.5 кВт М6 RDT 30248</t>
  </si>
  <si>
    <t>Тэн резьбовой 3.0 кВт М6 RDT 30246</t>
  </si>
  <si>
    <t>Прокладка для резьбового ТЭНа RDT 819992</t>
  </si>
  <si>
    <t>Прокладка для фланцевого ТЭНа RСА/RCF 180715</t>
  </si>
  <si>
    <t>Прокладка для фланцевого ТЭНа RF62х17.5мм Термекс 66155</t>
  </si>
  <si>
    <t>Прокладка для фланцевого ТЭНа RF82 Термекс 66162</t>
  </si>
  <si>
    <t>Прокладка для корпуса сухого ТЭНа 66818</t>
  </si>
  <si>
    <t>Клапан предохранительный для водонагревателя 6 бар 100506</t>
  </si>
  <si>
    <t>Клапан предохранительный для водонагревателя 8 бар 100508</t>
  </si>
  <si>
    <t>Термостат стержневой 15 A 80*С 200820</t>
  </si>
  <si>
    <t>Термостат регулируемый внешний 77*С 100311</t>
  </si>
  <si>
    <t>Термостат защитный 105*С 100310</t>
  </si>
  <si>
    <t>Анод магниевый L100 D18 M6x180 100401</t>
  </si>
  <si>
    <t>Анод магниевый L120 D16 M6x10 100405</t>
  </si>
  <si>
    <t>Анод магниевый L140 D14 M4x20 100403</t>
  </si>
  <si>
    <t>Анод магниевый L200 D18 M6x180 100402</t>
  </si>
  <si>
    <t>Анод магниевый L210 D22 M6x10 100407</t>
  </si>
  <si>
    <t>Анод магниевый L230 D22 M5x10 100408</t>
  </si>
  <si>
    <t>Корпус сухого ТЭНа 482979N</t>
  </si>
  <si>
    <t>Пульт дистанционного управления NR-15S Navien Deluxe/АСЕ 30012601D</t>
  </si>
  <si>
    <t>Анод магниевый L110 D21 M5x10 100411</t>
  </si>
  <si>
    <t>Теплообменник ГВС Navien Deluxe 13-20 30004993A</t>
  </si>
  <si>
    <t>Теплообменник ГВС Navien Deluxe-24, Асе 13-20 30004995A</t>
  </si>
  <si>
    <t>Теплообменник ГВС Navien Deluxe-30, Асе-30 30005005A</t>
  </si>
  <si>
    <t>Теплообменник ГВС Navien Deluxe-35K 30005008A</t>
  </si>
  <si>
    <t>Камера сгорания Navien Deluxe 13-24K 30003351G</t>
  </si>
  <si>
    <t>Фильтр для очистки воды сетчатый грязевик Navien Deluxe 30002514B</t>
  </si>
  <si>
    <t>Вентилятор Navien Deluxe 13-24К 30012680A</t>
  </si>
  <si>
    <t>Теплообменник первичный Navien Deluxe АТМО 13-16A 30004896A</t>
  </si>
  <si>
    <t>Теплообменник первичный Navien Deluxe АТМО 20-24A 30004894A</t>
  </si>
  <si>
    <t>Мембрана ВПГ НЕВА 4510М силикон 4510-02.251</t>
  </si>
  <si>
    <t>Водяной блок ВПГ НЕВА 4510/4510Р 4710-60.000</t>
  </si>
  <si>
    <t>Тэн RF64 1,5 кВт М6 10-15л Термекс 10077</t>
  </si>
  <si>
    <t>Трансформатор розжига Navien GA/GST 30004360B</t>
  </si>
  <si>
    <t>Клапан сбросной предохранительный Navien Deluxe Coaxial, Deluxe S/C 30002251A</t>
  </si>
  <si>
    <t>Ремкомплект ВПГ НЕВА-5611/5514 3224-71.00</t>
  </si>
  <si>
    <t>Датчик контроля тяги Navien ATMO 13-24А 30002653A</t>
  </si>
  <si>
    <t>Датчик температуры ОВ Navien GA 11-35 30002612A</t>
  </si>
  <si>
    <t>Клапан автоматический предохранительный 3бар Navien ACЕ 30002244A</t>
  </si>
  <si>
    <t>Тэн 1,0 кВт сухой 201503</t>
  </si>
  <si>
    <t>Блок управления ВПГ НЕВА-4508,4510М,4511 3272-16.000</t>
  </si>
  <si>
    <t>Сильфон TGV 307</t>
  </si>
  <si>
    <t>Датчик температуры ОВ Navien Deluxe,ACE 13-40К 30002644A</t>
  </si>
  <si>
    <t>Прокладка для Аристон 5 болтов 75мм 571312</t>
  </si>
  <si>
    <t>Диафрагма клапана 301022 ЖМЗ</t>
  </si>
  <si>
    <t>Шнур сетевой для водонагревателя с УЗО 230В 66598</t>
  </si>
  <si>
    <t>Термопара АОГВ DANI</t>
  </si>
  <si>
    <t>Фитинг контура отопления угловой Navien Coaxial 20007871B</t>
  </si>
  <si>
    <t>Горелка пилотная 0.160.114</t>
  </si>
  <si>
    <t>Горелка пилотная 0.160.027</t>
  </si>
  <si>
    <t>Датчик перегрева 65*С таблетка</t>
  </si>
  <si>
    <t>Теплообменник КСГ-16 Sit Мимакс</t>
  </si>
  <si>
    <t>Прокладка адаптера ГВС Navien 20006852A</t>
  </si>
  <si>
    <t>Прокладка адаптера подачи/обратки отопления Navien 20006856A</t>
  </si>
  <si>
    <t>Прокладка циркуляционного насоса Navien 20006859A</t>
  </si>
  <si>
    <t>Прокладка предохранительного клапана Navien 20007013A</t>
  </si>
  <si>
    <t>Прокладка крана подпитки Navien 20018241B</t>
  </si>
  <si>
    <t>Прокладка циркуляционного насоса Navien 20006996A</t>
  </si>
  <si>
    <t>Проклaдка трубки подпитки Navien 20006963A</t>
  </si>
  <si>
    <t>Прокладка газовой трубки Navien 20006929A</t>
  </si>
  <si>
    <t>Прокладка гидроузла Navien 20007019A</t>
  </si>
  <si>
    <t>Прокладка фильтра горячей воды Navien 20007016A</t>
  </si>
  <si>
    <t>Прокладка выходного адаптера теплообменника Navien 20007004А аналог 20007003А</t>
  </si>
  <si>
    <t>Прокладка воздухоотводчика Navien 20007018А</t>
  </si>
  <si>
    <t>Прокладка адаптера теплообменника Navien 20006994A</t>
  </si>
  <si>
    <t>Кольцо уплотнительное патрубка контура ОВ Navien 20006954А</t>
  </si>
  <si>
    <t>Кольцо уплотнительное Navien 20028943А</t>
  </si>
  <si>
    <t>Кольцо уплотнительное Navien 20024806А</t>
  </si>
  <si>
    <t>Прокладка датчика протока Navien 20007006А</t>
  </si>
  <si>
    <t>Кольцо уплотнительное впускного патрубка газового клапана Navien 20006936А</t>
  </si>
  <si>
    <t>Кольцо уплотнительное адаптера входа газовой трубки Navien 20006935А</t>
  </si>
  <si>
    <t>Кольцо уплотнительное Navien 20011380А</t>
  </si>
  <si>
    <t>Кольцо уплотнительное Navien 20021353А аналог 20007007</t>
  </si>
  <si>
    <t>Прокладка трубы подачи холодной/горячей воды Navien 20007014А</t>
  </si>
  <si>
    <t>Прокладка датчика температуры ГВС Navien 20007008А</t>
  </si>
  <si>
    <t>Кольцо уплотнительное для кронштейна манометра Navien 20007005А</t>
  </si>
  <si>
    <t>Газовый клапан Navien Deluxe 30010310B</t>
  </si>
  <si>
    <t>Пробка для насоса Navien 30003551C</t>
  </si>
  <si>
    <t>Тэн 0,8 кВт сухой 201501</t>
  </si>
  <si>
    <t>Тэн для стиральной машины 1700W прямой с отверстием L-169,R-13,M-120 3406054</t>
  </si>
  <si>
    <t>Тэн для стиральной машины 1900W прямой L-175,R-13,M-120 3406117</t>
  </si>
  <si>
    <t>Тэн для стиральной машины 2000W прямой с отверстием L-202,R-12,M-140 3406115</t>
  </si>
  <si>
    <t>Тэн для стиральной машины 1950W прямой с отверстием L-203,R-13,М-110 3406145</t>
  </si>
  <si>
    <t>Теплообменник ВПГ-10 Мастер 2016г</t>
  </si>
  <si>
    <t>Дисплей LCD ВПГ-10 Мастер 2016г</t>
  </si>
  <si>
    <t>Камера сгорания Navien Deluxe 30К 30003352G</t>
  </si>
  <si>
    <t>Тэн для стиральной машины 1750W прямой L-154,R-9,M-119 815300</t>
  </si>
  <si>
    <t>Тэн для стиральной машины 1900W прямой с датчиком L-185,R-12,M-131 3406111</t>
  </si>
  <si>
    <t>Мембрана водяного блока ВПГ-23 Нева</t>
  </si>
  <si>
    <t>Электроды розжига GA 11-17K(N) Navien 20010582A</t>
  </si>
  <si>
    <t>Коллектор дымовых газов Navien Deluxe.ACE 13-24К 30003863A</t>
  </si>
  <si>
    <t>Турбулизатор АОГВ Siberia Ростов 2210-012</t>
  </si>
  <si>
    <t>Вентилятор Navien АСЕ-40К 30007950A</t>
  </si>
  <si>
    <t>Теплообменник НЕВА-4511/5611/VilTerm S11/ 1101-07.000</t>
  </si>
  <si>
    <t>Блок управления ВПГ НЕВА DHS-16B5 4508/4510/4510М до 04.2017г</t>
  </si>
  <si>
    <t>Камера сгорания Navien 35-40 Deluxe/Aсе 30003354G</t>
  </si>
  <si>
    <t>Селектор ВПГ НЕВА-4511 ЗИП 4211-02.200-01 с 2017г</t>
  </si>
  <si>
    <t>Заглушка ВПГ НЕВА-4511 ЗИП 4211-02.200-02 с 2017г</t>
  </si>
  <si>
    <t>Блок управления Navien Deluxe 30-40К плата 30013767E</t>
  </si>
  <si>
    <t>Ремкомплект ВПГ НЕВА-4510</t>
  </si>
  <si>
    <t>Микровыключатель ВПГ НЕВА 4510М 3227-02.330-01</t>
  </si>
  <si>
    <t>Трубка запальника Sit М10 L300 D4 медь</t>
  </si>
  <si>
    <t>Трубка запальника ЖМЗ КОВ-СГ-43/50 Эконом 378010 с 2013г</t>
  </si>
  <si>
    <t>Прокладка для ТЭНа RCA/RCF 121мм 5 болтов 65151710</t>
  </si>
  <si>
    <t>Тэн VLS 1,5 кВт М5 D75/125 151227</t>
  </si>
  <si>
    <t>Теплообменник ВПГ-10Е Ладогаз</t>
  </si>
  <si>
    <t>Теплообменник ВПГ-11PL-01 Ладогаз</t>
  </si>
  <si>
    <t>Теплообменник ВПГ-11ED-01 Ладогаз</t>
  </si>
  <si>
    <t>Блок управления ВПГ-10Е Ладогаз</t>
  </si>
  <si>
    <t>Блок управления ВПГ-11Pl Ладогаз</t>
  </si>
  <si>
    <t>Входная труба горячей воды №1 Navien 30003659C</t>
  </si>
  <si>
    <t>Электроды розжига GA 30-35 Navien 20010581A</t>
  </si>
  <si>
    <t>Электроды розжига GA 20-23 Navien 20010584A</t>
  </si>
  <si>
    <t>Предохранитель Navien Аce/Coaxial 13-30 20006665A</t>
  </si>
  <si>
    <t>Труба подачи отопления №1 Navien 20007845B</t>
  </si>
  <si>
    <t>Блок управления Navien Deluxe 13-24К плата 30013766F</t>
  </si>
  <si>
    <t>Мембрана ВПГ-8А/10Е Ладогаз</t>
  </si>
  <si>
    <t>Мембрана ВПГ-10А/11PL-01/11ЕD Ладогаз резина</t>
  </si>
  <si>
    <t>Кольцо уплотнительное d 14*10*3 ВПГ Ладогаз</t>
  </si>
  <si>
    <t>Кольцо уплотнительное d 5*2*1.8 ВПГ Ладогаз</t>
  </si>
  <si>
    <t>Датчик давления воздуха маностат Navien GA 11-35, GST 35-40 30004407B</t>
  </si>
  <si>
    <t>Ручка регулировки газового клапана TGV</t>
  </si>
  <si>
    <t>Датчик протока ВПГ-11PL Ладогаз</t>
  </si>
  <si>
    <t>Конфорка ЭКЧ 1500 Вт D-180 с нержавеющим ободом 818015</t>
  </si>
  <si>
    <t>Горелка пилотная 0.190.674</t>
  </si>
  <si>
    <t>Трубка запальника 10см газоподвод Мимакс</t>
  </si>
  <si>
    <t>Горелка пилотная Polidoro</t>
  </si>
  <si>
    <t>Крышка камеры сгорания Navien Deluxe 13-24К 30003338D</t>
  </si>
  <si>
    <t>Блок управления Navien GA 17-35 плата 30000161C</t>
  </si>
  <si>
    <t>Труба подачи отопления №2 Navien 20007847B</t>
  </si>
  <si>
    <t>Входная труба горячей воды №2 Navien 30003672B</t>
  </si>
  <si>
    <t>Патрубок контура ОВ проходной вход Navien 20007867B</t>
  </si>
  <si>
    <t>Патрубок-адаптер ГВС Navien Deluxe.ACE 30003673E</t>
  </si>
  <si>
    <t>Патрубок выхода ГВС Navien 30003628F</t>
  </si>
  <si>
    <t>Тэн для стиральной машины 1950W прямой L-180,R-13,M-135 3406107</t>
  </si>
  <si>
    <t>Теплообменник НЕВА-4510М/VilTerm S10 1102-07.000</t>
  </si>
  <si>
    <t>Теплообменник НЕВА-4513М/5514/VilTerm S13 1103-07.000</t>
  </si>
  <si>
    <t>Датчик температуры воды ВПГ Ладогаз</t>
  </si>
  <si>
    <t>Теплообменник ВПГ-11PL Ладогаз</t>
  </si>
  <si>
    <t>Термопара 700 мм Арбат М8</t>
  </si>
  <si>
    <t>Дисплей ВПГ-10Е/11PL Ладогаз</t>
  </si>
  <si>
    <t>Игла розжига ВПГ-10Е Ладогаз короткая</t>
  </si>
  <si>
    <t>Игла розжига ВПГ-11PL Ладогаз длинная</t>
  </si>
  <si>
    <t>Микровыключатель ВПГ Ладогаз</t>
  </si>
  <si>
    <t>Клапан электромагнитный ВПГ Ладогаз</t>
  </si>
  <si>
    <t>ТЭН для электроплиты 1200 Вт 701194</t>
  </si>
  <si>
    <t>Тэн RNSA PA 1,5 кВт М4 овальный фланец 64*90мм 3766</t>
  </si>
  <si>
    <t>Прокладка термоизоляционная под камеру сгорания Navien АСЕ 13-24K 20023124A</t>
  </si>
  <si>
    <t>Горелка газовая в сборе Navien 13-24 30003231A</t>
  </si>
  <si>
    <t>Кольцо уплотнительное d 6,3*2,5*1,9 ВПГ Ладогаз</t>
  </si>
  <si>
    <t>Дефлектор GA 20-23 Navien 30004713B</t>
  </si>
  <si>
    <t>Дефлектор GST 35-60 Navien 30004715A</t>
  </si>
  <si>
    <t>Теплообменник ВПГ-11ЕD Ладогаз</t>
  </si>
  <si>
    <t>Трубка запальника Sit M10 L300 D6 медь</t>
  </si>
  <si>
    <t>Мембрана ВПГ Нева-4513М/Baltgaz Comfort 4211-02.331</t>
  </si>
  <si>
    <t>Патрубок-адаптер контура ОВ вход Navien AСЕ 20007850A</t>
  </si>
  <si>
    <t>Патрубок-адаптер контура ГВС выход Navien Deluxe AСЕ 20007751A</t>
  </si>
  <si>
    <t>Кабель розжига Sit L600мм</t>
  </si>
  <si>
    <t>Гидроузел датчика протока с краном подпитки Navien Deluxe АСЕ 13-24K,АТМО 13-24А 30011226A</t>
  </si>
  <si>
    <t>Газовый клапан GA 11-35K,GST 35-40K 30007717A</t>
  </si>
  <si>
    <t>Электроды розжига в сборе Deluxe Navien 30003880D</t>
  </si>
  <si>
    <t>Коллектор дымовых газов Navien Deluxe 30К 30003864A</t>
  </si>
  <si>
    <t>Трубка запальника Кебер УГ-Х-3-20 L-28см ТС17-10.00.000-04</t>
  </si>
  <si>
    <t>Трубка запальника Кебер УГ-Х-3-54 L-20см ТС17-10.00.000-08</t>
  </si>
  <si>
    <t>Горелка пилотная Кебер ТС15-02.00.000-01 УГ-*-3-20</t>
  </si>
  <si>
    <t>Форсунка на дизтопливо LFA/LST 40 Navien 20010494A</t>
  </si>
  <si>
    <t>Рассекатель дымовых газов GST-35-40,LST 30-40 Navien 20007303B</t>
  </si>
  <si>
    <t>Датчик пламени фотоэлемент LFA/LST-40 Navien 30004394B</t>
  </si>
  <si>
    <t>Вентилятор Navien Ace 13-24K 30005567A</t>
  </si>
  <si>
    <t>Коллектор для сжиженного газа АТМО 13-16 Navien 30008388A</t>
  </si>
  <si>
    <t>Мотор вентилятора GA 11-17 К(N) Navien 30005551A</t>
  </si>
  <si>
    <t>Мотор вентилятора GA 23-35 K(N) Navien 30005548A</t>
  </si>
  <si>
    <t>Горелка пилотная Пламя ТС15-02.00.000-03</t>
  </si>
  <si>
    <t>Водяной блок ВПГ Астра анодированный</t>
  </si>
  <si>
    <t>Сервопривод Immergas 1.028572</t>
  </si>
  <si>
    <t>Коллектор дымовых газов 35-40 Navien Deluxe AСЕ 30003865A</t>
  </si>
  <si>
    <t>Прокладка термоизоляционная под камеру сгорания ACE 30К Navien 20023125A</t>
  </si>
  <si>
    <t>Газоводяной узел ВПГ-10Е Ладогаз</t>
  </si>
  <si>
    <t>Газоводяной узел ВПГ 11PL-01 ВПГ 11ED-01 Ладогаз</t>
  </si>
  <si>
    <t>Термопара 400 мм Sit М9 А1</t>
  </si>
  <si>
    <t>Теплообменник ВПГ НЕВА-4510 4110-07.000-01 с 2017г</t>
  </si>
  <si>
    <t>Тэн RF92 двойной 2.0кВт 0.7+1.3кВт М6 RZL D92мм 10941G10</t>
  </si>
  <si>
    <t>Прокладка для ТЭНа RF87 66148</t>
  </si>
  <si>
    <t>Тэн для стиральной машины 850W с датчиком U-образный L-150, R-15 340607</t>
  </si>
  <si>
    <t>Крышка камеры сгорания Navien ACE 30К 30003339D</t>
  </si>
  <si>
    <t>Крышка камеры сгорания Navien 35-40К 30003349С</t>
  </si>
  <si>
    <t>Датчик уровня ОВ Navien GA 11-35 GST 35-60 30002661A</t>
  </si>
  <si>
    <t>Газовый клапан Арбат</t>
  </si>
  <si>
    <t>Газовый клапан TGV 307</t>
  </si>
  <si>
    <t>Газовый клапан EUROSIT 0.630</t>
  </si>
  <si>
    <t>Газовый клапан MINISIT 0.710</t>
  </si>
  <si>
    <t>Газовый клапан SIT 820.332 NOVA</t>
  </si>
  <si>
    <t>Теплообменник ВПГ 10л ВЕСТ</t>
  </si>
  <si>
    <t>Газоводяной узел ВПГ 10А/11ЕD Ладогаз</t>
  </si>
  <si>
    <t>Электроды розжига Navien Deluxe S 13-35К 30020261A</t>
  </si>
  <si>
    <t>Блок управления плата Navien Deluxe-S/C/Е 13-24K 30020390С</t>
  </si>
  <si>
    <t>Кабель соединительный термопрерывателя и датчика тяги L1000мм</t>
  </si>
  <si>
    <t>Зажим трубный "Н" Navien 20007878A</t>
  </si>
  <si>
    <t>Прокладка термоизоляционная под камеру сгорания Navien ACE 35K 20023126A</t>
  </si>
  <si>
    <t>Термопара Лемакс 0.270.017</t>
  </si>
  <si>
    <t>Датчик перегрева таблетка Navien Deluxe 35-40К 30013082A</t>
  </si>
  <si>
    <t>Термометр накладной с пружиной</t>
  </si>
  <si>
    <t>Термопара 375014 АОГВ 17-23 Комфорт с 2010 г ЖМЗ</t>
  </si>
  <si>
    <t>Термопара АОГВ-80  Ростов-на-Дону</t>
  </si>
  <si>
    <t>Насос топливный плунжерный LFA/LST 13-17К Navien 30004238B</t>
  </si>
  <si>
    <t>Блок управления плата EQB 08-24 HW Navien 30017337A</t>
  </si>
  <si>
    <t>Термопара 600 мм Sit М9 А3</t>
  </si>
  <si>
    <t>Зажим трубный "G" Navien 20007868А</t>
  </si>
  <si>
    <t>Клапан 3-х ходовой Navien Deluxe S/ONE 30020637А</t>
  </si>
  <si>
    <t>Бак расширительный Navien Deluxe EQB/S/C/E/ONE 13-24K 30020196B</t>
  </si>
  <si>
    <t>Воздухоотводчик Navien Deluxe S/С 30015225A</t>
  </si>
  <si>
    <t>Термометр биметаллический L50 ТБП-63 120*С осевой</t>
  </si>
  <si>
    <t>Датчик NTC отопления накладной Nike/Eolo Star Immergas 3.031650 аналог 1.028394</t>
  </si>
  <si>
    <t>Датчик NTC отопления накладной Nike/Eolo Mythos 24 3R Immergas 1.035177</t>
  </si>
  <si>
    <t>Расширительный бак 6л Immergas 1.036267 аналог 1.015138</t>
  </si>
  <si>
    <t>Плата управления Eolo Mythos Immergas 1.040030</t>
  </si>
  <si>
    <t>Конфорка ЭКЧ 2000 Вт D-220 с нержавеющим ободом 722020</t>
  </si>
  <si>
    <t>Прессостат дымоудаления Immergas 1.012849</t>
  </si>
  <si>
    <t>Теплообменник битермический Nike/Eolo Star 24 3E Immergas 1.024398</t>
  </si>
  <si>
    <t>Теплообменник первичный Nike/Eolo Mythos 79 ламелей Immergas 1.035442</t>
  </si>
  <si>
    <t>Теплообменник ГВС 12 пластин Nike/Eolo Mythos Immergas 3.021692 аналог 1.031610/1.028657</t>
  </si>
  <si>
    <t>Теплообменник ГВС 20 пластин Nike/Eolo Maior 24-32 Immergas 3.015360</t>
  </si>
  <si>
    <t>Дефлектор LST 40К Navien 30004690A</t>
  </si>
  <si>
    <t>Прокладка на овальный фланец ТЭНа RCA D48 83х115мм 56861</t>
  </si>
  <si>
    <t>Трубка запальника Sit М10 L600 D6 медь</t>
  </si>
  <si>
    <t>Трубка запальника Sit М10 L600 D6 алюминий</t>
  </si>
  <si>
    <t>Пульт дистанционного управления NR-40D Navien</t>
  </si>
  <si>
    <t>Вентилятор Immergas 1.018778</t>
  </si>
  <si>
    <t>Кран подпитки Navien Deluxe S 13-35K 30020635А</t>
  </si>
  <si>
    <t>Теплообменник первичный Navien Deluxe S/C/One 13-24K 30020388А</t>
  </si>
  <si>
    <t>Теплообменник ГВС Navien Deluxe S 13-24К 30017721A</t>
  </si>
  <si>
    <t>Теплообменник ГВС Navien Deluxe S 35K 30018296А</t>
  </si>
  <si>
    <t>Нагреватель ТЭН для электрокотлов Navien серии EQB-08HW/EQB-15HW 30018080A</t>
  </si>
  <si>
    <t>Блок управления ВПГ-11ED-01,11PL-01,14FD Ладогаз</t>
  </si>
  <si>
    <t>Нагреватель ТЭН для электрокотлов Navien серии EQB-12HW 30018079В</t>
  </si>
  <si>
    <t>Циркуляционный насос Navien Deluxe C/E 13-35K 30022723B</t>
  </si>
  <si>
    <t>Теплообменник первичный Navien Deluxe S/C 35K 30020498A</t>
  </si>
  <si>
    <t>Циркуляционный насос EQB 8-24HW Navien 30017758А</t>
  </si>
  <si>
    <t>Датчик температуры ГВС Deluxe S/C Navien 30015178A</t>
  </si>
  <si>
    <t>Датчик температуры ОВ Deluxe S/C Navien 30010295A</t>
  </si>
  <si>
    <t>Манометр Deluxe S/C Navien 30020258A</t>
  </si>
  <si>
    <t>Вентилятор Navien Deluxe S/C 13-24K 30021105A</t>
  </si>
  <si>
    <t>Блок управления плата Navien Deluxe S/C 35K 30021004A</t>
  </si>
  <si>
    <t>Трансформатор розжига Navien Deluxe S/C/E/ONE 30021167А</t>
  </si>
  <si>
    <t>Зажим трубный "D" Navien 20007835A</t>
  </si>
  <si>
    <t>Зажим трубный "А" Navien 20007858А</t>
  </si>
  <si>
    <t>Шланг расширительного бака Navien Deluxe, Аce, Соаxial 30003134A</t>
  </si>
  <si>
    <t>Теплообменник первичный Navien Deluxe/Aсе/Prime 35-40K 30012862C</t>
  </si>
  <si>
    <t>Передняя крышка камеры сгорания Navien АТМО 20-24 30003397A</t>
  </si>
  <si>
    <t>Плата управления Ferroli Fortuna/Vitabel 46562200</t>
  </si>
  <si>
    <t>Плата управления Ferroli Divabel 46562640</t>
  </si>
  <si>
    <t>Теплообменник ГВС Ferroli Fortuna 902603280</t>
  </si>
  <si>
    <t>Датчик температуры ГВС Fortuna Ferroli 46360340</t>
  </si>
  <si>
    <t>Датчик температуры отопления Fortuna/Divabel Ferroli 46360330</t>
  </si>
  <si>
    <t>Датчик давления воды Fortuna/Divabel Ferroli 46160200</t>
  </si>
  <si>
    <t>Датчик протока Fortuna Ferroli 398000270</t>
  </si>
  <si>
    <t>Датчик ГВС погружной Divabel Fortuna 46360360</t>
  </si>
  <si>
    <t>Газовый клапан Fortuna/Divabel Ferroli 46562030</t>
  </si>
  <si>
    <t>Сервопривод 3-х ходового клапана Ferroli 46660080</t>
  </si>
  <si>
    <t>Прессостат датчик давления Ferroli 46160390</t>
  </si>
  <si>
    <t>Манометр Ferroli Fortuna/Divabel 46360350</t>
  </si>
  <si>
    <t>Клапан защитный сбросной Ferroli 39404720</t>
  </si>
  <si>
    <t>Термостат 100*С Ferroli 46360930</t>
  </si>
  <si>
    <t>Корпус 3-х ходового клапана Ferroli 902610740</t>
  </si>
  <si>
    <t>Гидроузел входа воды Ferroli 902610840</t>
  </si>
  <si>
    <t>Электрод розжига Ferroli 46360140</t>
  </si>
  <si>
    <t>Ремкомплект гидрогруппы Ferroli 902609150</t>
  </si>
  <si>
    <t>Вентилятор Ferroli 90261480</t>
  </si>
  <si>
    <t>Пьезокнопка TGV</t>
  </si>
  <si>
    <t>Вентилятор Immergas 1.029520</t>
  </si>
  <si>
    <t>Tеплообменник первичный Navien Deluxe,Prime,Smart Tok 13-24К 30012859C</t>
  </si>
  <si>
    <t>Патрубок-адаптер соединительный газовый Navien 30003625B</t>
  </si>
  <si>
    <t>Ремкомплект НЕВА 4511,4513М с 2017г</t>
  </si>
  <si>
    <t>Пульт дистанционного управления Mini CRD Immergas 3.020167</t>
  </si>
  <si>
    <t>Теплообменник НЕВА-4510 114510-07.000-01 с 2020г</t>
  </si>
  <si>
    <t>Блок управления ВПГ НЕВА-4511Е,5514М,5514Е 114511-16.000</t>
  </si>
  <si>
    <t>Датчик протока НЕВА-4511Е/5514Е/5514М 114511-18.000</t>
  </si>
  <si>
    <t>Модуль связи ВСМ-W35 Navien</t>
  </si>
  <si>
    <t>Теплообменник ГВС Deluxe C 30К Navien 30013798A</t>
  </si>
  <si>
    <t>Теплообменник ГВС Deluxe C 13-24K Navien 30013792A</t>
  </si>
  <si>
    <t>Датчик давления Deluxe S/C/Е 13-35K,EQB Navien 30014860A</t>
  </si>
  <si>
    <t>Датчик давления воздуха Deluxe S/C/E/ONE Navien 30021100A</t>
  </si>
  <si>
    <t>Вентилятор Deluxe S/C 35-40K Navien 30021106A</t>
  </si>
  <si>
    <t>Коллектор для сжиженного газа Deluxe S/C/ONE 13-24K Navien 30021531A</t>
  </si>
  <si>
    <t>Коллектор для сжиженного газа Deluxe S/C/ONE 30,35,40K Navien 30021532A</t>
  </si>
  <si>
    <t>Коллектор для сжиженного газа АТМО 20-24 Navien 30008389A</t>
  </si>
  <si>
    <t>Камера сгорания Deluxe S/C/ONE 13-24K Navien 30020328A</t>
  </si>
  <si>
    <t>Мембрана ВПГ Нева 4510/4511 3227-02.278-01 с 2015г d72мм</t>
  </si>
  <si>
    <t>Пульт дистанционного управления NR-15SW Navien Deluxe S/C/Е 13-35K 30021088A</t>
  </si>
  <si>
    <t>Кабель розжига 74935  L800 ЖМЗ</t>
  </si>
  <si>
    <t>Термопара Q335C1023B Honeywell 94054 ЖМЗ</t>
  </si>
  <si>
    <t>Газовый клапан Navien Deluxe S/C, Prime, SmartTok 30010588B</t>
  </si>
  <si>
    <t>Датчик температуры ОВ Navien GST 49-60KR LST 50-60 30002611A</t>
  </si>
  <si>
    <t>Тэн для сауны Harvia Vega 1500Вт 224-ZSB</t>
  </si>
  <si>
    <t>Ремкомплект ВПГ НЕВА 4510М/4511/4513 ВГУ ЗИП 4211-02.200 с 2017г</t>
  </si>
  <si>
    <t>Циркуляционный насос Fortuna/Divabel Ferroli 902614160</t>
  </si>
  <si>
    <t>Теплообменник ВПГ-14 FD Ладогаз</t>
  </si>
  <si>
    <t>Манометр АСЕ/DELUXE/Prime/SmartTok Navien 30013530A</t>
  </si>
  <si>
    <t>Блок управления ВПГ VilTerm 1101-08.100</t>
  </si>
  <si>
    <t>Газовый клапан Honeywell Ferroli 39826240</t>
  </si>
  <si>
    <t>Горелка пилотная 0.160.103</t>
  </si>
  <si>
    <t>Тэн 2.5кВт двойной 1.0+1.5кВт М5 с клеммами под разъем L265мм 150909</t>
  </si>
  <si>
    <t>Прокладка на овальный фланец ТЭНа RCA 80х110мм 66110</t>
  </si>
  <si>
    <t>Контргайка никелированная для резьбового ТЭНа RDT Ду-32 с ребордой Valtec</t>
  </si>
  <si>
    <t>Фитинг контура отопления угловой АТМО Navien 13-24А 20007900B</t>
  </si>
  <si>
    <t>Блок управления Navien LFA/LST 13-60 Navien плата 30013899B</t>
  </si>
  <si>
    <t>Датчик пламени фотоэлемент LFA/LST 13-30 Navien 3004398B</t>
  </si>
  <si>
    <t>Датчик температуры для бойлера KIT Sonda Ferroli 38324090</t>
  </si>
  <si>
    <t>Датчик температуры KIT Sonda Ferroli 39400560</t>
  </si>
  <si>
    <t>Термостат комнатный Ferroli HRT177WS</t>
  </si>
  <si>
    <t>Хронотермостат Ferroli Connect Smart 013011XA</t>
  </si>
  <si>
    <t>Датчик уличной температуры Ferroli 013018X0</t>
  </si>
  <si>
    <t>Ремкомплект 3-х ходового клапана Immergas 3.017141</t>
  </si>
  <si>
    <t>Прокладка 3/4" Immergas 3.025955 аналог 1.023992</t>
  </si>
  <si>
    <t>Прокладка 3/8" Immergas 3.А1124 аналог 1.023993</t>
  </si>
  <si>
    <t>Прокладка 13,1х2,62мм Immergas 3.018194</t>
  </si>
  <si>
    <t>Прокладка 2,9х1,78мм Immergas 3.018193</t>
  </si>
  <si>
    <t>Прокладка 21,89х2,62мм Immergas 3.018191</t>
  </si>
  <si>
    <t>Прокладка 2,84х2,62мм Immergas 3.018192</t>
  </si>
  <si>
    <t>Прокладка 17,86х2,62мм Immergas 3.018189</t>
  </si>
  <si>
    <t>Прокладка 13,95х2,62мм Immergas 3.018187</t>
  </si>
  <si>
    <t>Прокладка 5,50х2мм Immergas 3.018188</t>
  </si>
  <si>
    <t>Прокладка 1/2" Immergas 3.А1363</t>
  </si>
  <si>
    <t>Прокладка 6,75х1,78мм Immergas 3.018190</t>
  </si>
  <si>
    <t>Прокладка 15,54х2,62мм Immergas 3.016055</t>
  </si>
  <si>
    <t>Кольцо уплотнительное 7,6х2,62мм Immergas 3.016090</t>
  </si>
  <si>
    <t>Прокладка 34,0х3,0мм Immergas 3.016096</t>
  </si>
  <si>
    <t>Плата управления Maior Eolo 24/28/32 4E Immergas 1.045364 аналог 1.028173</t>
  </si>
  <si>
    <t>Геркон Deluxe S 13-35K Navien 30010399A</t>
  </si>
  <si>
    <t>Теплообменник ГВС Navien Deluxe/ACE 40K 30005013A</t>
  </si>
  <si>
    <t>Жгут кабельный в сборе с коннекторами ATMO Navien 30003022B</t>
  </si>
  <si>
    <t>Блок управления ВПГ НЕВА-4510 114510-16.000</t>
  </si>
  <si>
    <t>Контргайка латунная для резьбового ТЭНа RDT Ду-32 с ребордой</t>
  </si>
  <si>
    <t>Фильтр топливный LST 13-40K Navien 30004377D</t>
  </si>
  <si>
    <t>Гильза медная для котла 1/2"</t>
  </si>
  <si>
    <t>Термопара универсальная ЖМЗ 950мм с гайкой</t>
  </si>
  <si>
    <t>Трубка запальника Sit M10 L600 D4 медь</t>
  </si>
  <si>
    <t>Трубка запальника Sit M10 L400 D4 медь</t>
  </si>
  <si>
    <t>Трубка запальника Sit M10 L300 D6 алюминий</t>
  </si>
  <si>
    <t>Картридж блока выхода в сборе Immergas 3.020380</t>
  </si>
  <si>
    <t>Тэн RF92 прижимной 1.5 кВт М6 10081</t>
  </si>
  <si>
    <t>Ремкомплект горелки АГУ-Т-М Мимакс</t>
  </si>
  <si>
    <t>Термопара 1000мм  Sit M9 A1</t>
  </si>
  <si>
    <t>Электрод розжига Immergas 3.021021</t>
  </si>
  <si>
    <t>Уплотнительное кольцо ЭМК ВЕСТ d31мм</t>
  </si>
  <si>
    <t>Уплотнительное кольцо датчика температуры ВЕСТ d10мм</t>
  </si>
  <si>
    <t>Датчик температуры ОВ Navien LST 13-40K 30002642A</t>
  </si>
  <si>
    <t>Насос топливный плунжерный LST/LFA 40К Navien 30004236B</t>
  </si>
  <si>
    <t>Водяной блок НЕВА 4311-60.000 универсальный</t>
  </si>
  <si>
    <t>Электроды розжига LFA/LST 40 Navien 20010602A</t>
  </si>
  <si>
    <t>Трансформатор розжга LFA/LST 13-40 Navien 3004374С</t>
  </si>
  <si>
    <t>Кран подпитки Nike Mini 28 Special Immergas 3.019793 аналог 3.016699</t>
  </si>
  <si>
    <t>Термостат накладной 65*С Immergas 1.011928</t>
  </si>
  <si>
    <t>Расширительный бак 7,5 л Immergas 1.023743</t>
  </si>
  <si>
    <t>Электрод розжига левый Nike Mini 28 Immergas 1.025665 аналог 1.2405</t>
  </si>
  <si>
    <t>Электрод розжига правый Nike Mini 28 Immergas 1.025666 аналог 1.2408</t>
  </si>
  <si>
    <t>Горелка 14 линий Nike Mini 28 Special Immergas 1.019850</t>
  </si>
  <si>
    <t>Труба d18 теплообменник-гидравлическая группа Nike Mini28 Special Immergas 1.021339</t>
  </si>
  <si>
    <t>Воздухоотводчик Immergas 1.022102</t>
  </si>
  <si>
    <t>Датчик NTC погружной Immergas 3.016099 аналог 1.021762</t>
  </si>
  <si>
    <t>Труба d10 входной коллектор холодной воды-расширительный бак Nike Mini 28 Special Immergas 1.023402</t>
  </si>
  <si>
    <t>Манометр Immergas 1.021908</t>
  </si>
  <si>
    <t>Труба d18 газовый клапан-распределитель Nike Mini 28 Special Immergas 1.022408</t>
  </si>
  <si>
    <t>Термостат накладной 80-105*С Immergas 1.019147</t>
  </si>
  <si>
    <t>Труба d18 теплообменник-гидравлическая группа Immergas Mini Nike 28 Special 1.022407</t>
  </si>
  <si>
    <t>Газовый клапан Sit 845 со штекером Immergas 1.014365</t>
  </si>
  <si>
    <t>Теплообменник первичный 98 ламелей Immergas 1.019007</t>
  </si>
  <si>
    <t>Теплообменник ГВС 16 пластин Nike Mini 28 Special Immergas 1.022221</t>
  </si>
  <si>
    <t>Сервопривод 3-ходового клапана фланцевый Nike Mini 24/28 Immergas 1.018064</t>
  </si>
  <si>
    <t>Клапан 3-х ходовой Nike Mini 28 Special Immergas 3.016701</t>
  </si>
  <si>
    <t>Плата управления Nike Mini 28 Special Immergas 1.025995</t>
  </si>
  <si>
    <t>Клапан сбросной 3бар Immergas 1.022306</t>
  </si>
  <si>
    <t>Коллектор для природного газа 14 сопел G20 Immergas 1.020223</t>
  </si>
  <si>
    <t>Труба d12 реле потока-коллектора подачи холодной воды Immergas 1.022937</t>
  </si>
  <si>
    <t>Труба d18 Immergas 1.022935</t>
  </si>
  <si>
    <t>Корпус перепускного клапана Nike Mini 28 Special Immergas 1.022936</t>
  </si>
  <si>
    <t>Насос 43-15 Nike Mini 28 KW Special Immergas 1.023053</t>
  </si>
  <si>
    <t>Коллектор подачи холодной воды Nike Mini 28KW Special Immergas 1.023397</t>
  </si>
  <si>
    <t>Запальник АГУ-П Сигнал</t>
  </si>
  <si>
    <t>Комплект проводов Nike Mini 28KW Special Immergas</t>
  </si>
  <si>
    <t>Теплообменник первичный 24кВт Gelios Plus E.С.А. 7006907734</t>
  </si>
  <si>
    <t>Теплообменник первичный Gerda 24кВт Е.С.А. 7006907916</t>
  </si>
  <si>
    <t>Теплообменник ГВС Proteus Plus 24кВт Е.С.А. 7006902992</t>
  </si>
  <si>
    <t>Плата управления Proteus Plus Е.С.А. 7006907059</t>
  </si>
  <si>
    <t>Газовый клапан Sigma Sit 845 Gelios Plus Е.С.А. 7006901247</t>
  </si>
  <si>
    <t>Насос циркуляционный GPD 15-5 S Gelios Plus Е.С.А. 7006907991</t>
  </si>
  <si>
    <t>Насос циркуляционный UPS 15-50 Grundfos Gerda Е.С.А. 7006907594</t>
  </si>
  <si>
    <t>Насос циркуляционный UPS 15-50 Grundfos Proteus Е.С.А. 7006902600</t>
  </si>
  <si>
    <t>Сервопривод 3-х ходового клапана Gelios Plus E.С.А. 7006908425</t>
  </si>
  <si>
    <t>Прессостат реле воздуха Gelios Plus Е.С.А. 7006907732</t>
  </si>
  <si>
    <t>Прессостат реле воздуха Gerda Е.С.А. 7006907787</t>
  </si>
  <si>
    <t>Датчик расхода Gerda Е.С.А. 7006907549</t>
  </si>
  <si>
    <t>Датчик потока Proteus Plus Е.С.А. 7006985271</t>
  </si>
  <si>
    <t>Вентилятор 48Вт Gelios Plus Е.С.А. 7006907730</t>
  </si>
  <si>
    <t>Тэн для умывальника 1,5 кВт L 280мм 02.115</t>
  </si>
  <si>
    <t>Тэн для умывальника 1,25 кВт L 200мм 02.125</t>
  </si>
  <si>
    <t>Тэн для радиатора RDT 1кВт L272мм Ду-32 24066</t>
  </si>
  <si>
    <t>Тэн для радиатора RDT 1.5кВт L272мм Ду-32 24068</t>
  </si>
  <si>
    <t>Электрод розжига ВПГ ВЕСТ</t>
  </si>
  <si>
    <t>Тэн для радиатора RDT 2кВт L361мм Ду-32 24069</t>
  </si>
  <si>
    <t>Тэн для радиатора RDT 0.8кВт L315мм Ду-32 24065</t>
  </si>
  <si>
    <t>Тэн для радиатора 1кВт L380мм Ду-25 правая резьба Р10П</t>
  </si>
  <si>
    <t>Тэн для радиатора 1.5кВт L390мм Ду-25 правая резьба Р15П</t>
  </si>
  <si>
    <t>Конфорка ЭКЧ 1200 Вт D-180 с нержавеющим ободом 618012</t>
  </si>
  <si>
    <t>Шток водяного узла ВПГ-10Е Ладогаз</t>
  </si>
  <si>
    <t>Адаптер обратки угловой Navien Deluxe S/C/E 20027160A</t>
  </si>
  <si>
    <t>Фитинг выходной угловой гидравлический с датчиком температуры Deluxe E/C Navien 30017012A</t>
  </si>
  <si>
    <t>Кольцо уплотнительное Navien 20027348A</t>
  </si>
  <si>
    <t>Скоба-фиксатор Navien 20007733A</t>
  </si>
  <si>
    <t>Заглушка газового клапан EuroSit G 3/8"</t>
  </si>
  <si>
    <t>Термопара 900мм универсальная  0.208.002</t>
  </si>
  <si>
    <t>Тэн RF64 2.0кВт 0.7+1.3кВт М4 L350мм горизонтальный Термекс 20043</t>
  </si>
  <si>
    <t>Конфорка ЭКЧ 1500 Вт D-145 с нержавеющим ободом 814515</t>
  </si>
  <si>
    <t>Мембрана ВПГ VilTerm 1101-08.821</t>
  </si>
  <si>
    <t>Мембрана ВПГ-10А/11PL-01/11ЕD Ладогаз силикон</t>
  </si>
  <si>
    <t>Картридж 3х-ходового клапана Ferroli 902621980</t>
  </si>
  <si>
    <t>Электрод розжига и ионизации Domitech/Divatech 39819430</t>
  </si>
  <si>
    <t>Фильтр масляный LFA 13-24K Navien 30004380C</t>
  </si>
  <si>
    <t>Форсунка на дизтопливо LFA/LST 24 Navien 20010482A</t>
  </si>
  <si>
    <t>Гидроузел с клапаном-байпасом Deluxe E/C 30021964А</t>
  </si>
  <si>
    <t>Мотор 3-х ходового клапана Deluxe S</t>
  </si>
  <si>
    <t>Газовый клапан TGV 310</t>
  </si>
  <si>
    <t>Термопара ЭКО М9 А3 Луч</t>
  </si>
  <si>
    <t>Клапан 3-х ходовой Deluxe Е/С Navien 30013136A</t>
  </si>
  <si>
    <t>Теплоообменник первичный Navien Deluxe Е 30021953А</t>
  </si>
  <si>
    <t>Датчик протока Deluxe S 13-35K Navien 30020634A</t>
  </si>
  <si>
    <t>Фильтр топливный LST 50-60KR Navien 30011626B</t>
  </si>
  <si>
    <t>Насос топливный плунжерный LFA/LST 30К Navien 30004240B</t>
  </si>
  <si>
    <t>Форсунка на дизтопливо LFA/LST 13-17 Navien 20010472A</t>
  </si>
  <si>
    <t>Клапан регулирования расхода воды Deluxe S Navien 30011194A</t>
  </si>
  <si>
    <t>Дефлектор LST 50-60КR Navien 30004731A</t>
  </si>
  <si>
    <t>Рассекатель дымовых газов LST-13-24 Navien 20007301B</t>
  </si>
  <si>
    <t>Блок управления ВПГ-10S-01 Ладогаз</t>
  </si>
  <si>
    <t>Газоводяной узел ВПГ 10S-01 Ладогаз</t>
  </si>
  <si>
    <t>Контргайка никелированная для резьбового ТЭНа RDT Ду-32 с ребордой</t>
  </si>
  <si>
    <t>Плата управления Mythos Immergas 1.039231</t>
  </si>
  <si>
    <t>Прокладка 13,94х2,62мм Immergas 3.016092</t>
  </si>
  <si>
    <t>Зажим трубный "С" Navien  20007739A</t>
  </si>
  <si>
    <t>Форсунка на дизтопливо LFA/LST 21К Navien 20010478A</t>
  </si>
  <si>
    <t>Гидроузел датчика протока Navien АТМО 13-16 c краном подпитки 30019903A</t>
  </si>
  <si>
    <t>Пульт дистанционного управления Navien LFA/LST 13-40,GST 49-60 30000608C</t>
  </si>
  <si>
    <t>Датчик протока ГВС Immergas Eolo Maior 24/28/32 1.020831</t>
  </si>
  <si>
    <t>Кран подпитки Maior Eolo 24/28 Immergas 3.019630</t>
  </si>
  <si>
    <t>Клапан предохранительный 3бар Eolo Maior 24/28/32 Immergas 1.017589</t>
  </si>
  <si>
    <t>Датчик перегрева 75*С таблетка</t>
  </si>
  <si>
    <t>Датчик перегрева 85*С таблетка</t>
  </si>
  <si>
    <t>Датчик перегрева 115*С таблетка</t>
  </si>
  <si>
    <t>Датчик перегрева 95*С таблетка</t>
  </si>
  <si>
    <t>Термопара 1200мм универсальная  BDR 031</t>
  </si>
  <si>
    <t>Термопара 750мм М10 А1 0.200.170</t>
  </si>
  <si>
    <t>Датчик протока Deluxe Е/С 13-35K Navien 30023133A</t>
  </si>
  <si>
    <t>Кольцо уплотнительное 18.8мм Navien 20027347A</t>
  </si>
  <si>
    <t>Насос топливный шестеренчатый LST 13-60 Navien 30004244A</t>
  </si>
  <si>
    <t>Жгут кабельный в сборе с коннекторами Navien ACE 13-40, ACE Coaxial 13-35K  30003000E</t>
  </si>
  <si>
    <t>Фланец 3-х ходового клапана Immergas 3.031531</t>
  </si>
  <si>
    <t>Теплообменник ГВС Gelios Plus 10 пластин E.C.A 7006991269</t>
  </si>
  <si>
    <t>Горелка пилотная 0.160.059</t>
  </si>
  <si>
    <t>Горелка пилотная 0.160.118</t>
  </si>
  <si>
    <t>Тэн для радиатора 0.5кВт L270мм Ду-25 правая резьба Р05П</t>
  </si>
  <si>
    <t>Тэн для радиатора 0.5кВт L270мм Ду-25 левая резьба Р05Л</t>
  </si>
  <si>
    <t>Тэн для умывальника 500 Вт L 150мм 02.050</t>
  </si>
  <si>
    <t>ТЭН для водонагревателя Haier 1.5 кВт М6 L235мм 150834</t>
  </si>
  <si>
    <t>ТЭН для водонагревателя Haier 2.0 кВт М6 L225мм 150784</t>
  </si>
  <si>
    <t>ТЭН RF для водонагревателя Haier 1.5 кВт М4 L210мм П1501</t>
  </si>
  <si>
    <t>ТЭН RF для водонагревателя Haier 2кВт М4 L205мм П1500</t>
  </si>
  <si>
    <t>Тэн водяной 1000Вт L195мм 07.102</t>
  </si>
  <si>
    <t>Тэн водяной 1600Вт L180мм 07.162</t>
  </si>
  <si>
    <t>Тэн водяной 2000Вт L185мм 07.202</t>
  </si>
  <si>
    <t>Датчик давления NGB210 Navien 30014860B</t>
  </si>
  <si>
    <t>Датчик холла Deluxe S/C/E/ONE Navien 30011774A</t>
  </si>
  <si>
    <t>Горелка пилотная Кебер ТС15-02.00.000-06 УГ-*-3-54</t>
  </si>
  <si>
    <t>Плата управления Maior Eolo Immergas 1.031865 аналог 1.024088</t>
  </si>
  <si>
    <t>Термопара 400мм универсальная М8</t>
  </si>
  <si>
    <t>Датчик температуры воды ВПГ VilTerm 1101-08.500</t>
  </si>
  <si>
    <t>Дисплей ВПГ VilTerm 1101-18.600</t>
  </si>
  <si>
    <t>Тэн водяной 2500Вт L180мм 07.257</t>
  </si>
  <si>
    <t>Тэн водяной 4000Вт L240мм 03.340</t>
  </si>
  <si>
    <t>Тэн водяной 2500Вт L250мм 07.252</t>
  </si>
  <si>
    <t>Тэн водяной 3000Вт L240мм 03.230</t>
  </si>
  <si>
    <t>Гидроузел датчика протока ГВС c краном подпитки Deluxe C 30023508A</t>
  </si>
  <si>
    <t>Теплообменник первичный NGB210 Heatluxe Navien 30013865A</t>
  </si>
  <si>
    <t>Коллектор для сжиженного газа Navien Ace Coaxial 35K 30006048A</t>
  </si>
  <si>
    <t>Изоляционная прокладка электродов  розжига и ионизации (А) Navien 20023584A</t>
  </si>
  <si>
    <t>Изоляционная прокладка электродов розжига и ионизации (В) Navien 20023585B</t>
  </si>
  <si>
    <t>Электроды розжига LST 50-60 Navien 20010609A</t>
  </si>
  <si>
    <t>Вентилятор Navien Deluxe 30-40К 30010860B</t>
  </si>
  <si>
    <t>Блок управления плата Navien Deluxe ONE 24 30024761A</t>
  </si>
  <si>
    <t>Электроды розжига GA 11-17K Navien 20010583A</t>
  </si>
  <si>
    <t>Блок управления ВПГ-11ED Ладогаз</t>
  </si>
  <si>
    <t>Прокладка камеры сгорания Deluxe 13-24 Navien 20035353A</t>
  </si>
  <si>
    <t>Ремкомплект уплотнительных колец для котлов NGB 210Navien 30023410A</t>
  </si>
  <si>
    <t>Улитка циркуляционного насоса Navien Deluxe 30001392B</t>
  </si>
  <si>
    <t>Термопара 473003 АОГВ 17-29 Комфорт с 12.2012г ЖМЗ</t>
  </si>
  <si>
    <t>Термопара FERROLI TORINO 7.5-30 7248043</t>
  </si>
  <si>
    <t>Теплообменник ВПГ-10S-01 Ладогаз</t>
  </si>
  <si>
    <t>Игла ионизации ВПГ-10Е Ладогаз</t>
  </si>
  <si>
    <t>Игла ионизации ВПГ-11PL-01,11ED-01,11PL,14FD Ладогаз</t>
  </si>
  <si>
    <t>Электрод ионизации Immergas 3.031568 аналог 1.010645</t>
  </si>
  <si>
    <t>Пьезокнопка Sit 710</t>
  </si>
  <si>
    <t>Комплект форсунок на сжиженный газ Ferroli G30/31 39819600</t>
  </si>
  <si>
    <t>Ремкомплект крана подпитки Ferroli Vitabel/Fortuna 902608820</t>
  </si>
  <si>
    <t>Гидроузел датчика протока ГВС c краном подпитки Navien Deluxe C/Е 30022050A</t>
  </si>
  <si>
    <t>Гидравлическая группа отопления левая Deluxe S Navien 30015734A</t>
  </si>
  <si>
    <t>Прокладка теплообменника ГВС Deluxe S Navien 20035234B</t>
  </si>
  <si>
    <t>Кольцо теплообменника упорное металлическое Navien Deluxe ACE 20018744B</t>
  </si>
  <si>
    <t>Горелка пилотная 1443-100 аналог 1443-520</t>
  </si>
  <si>
    <t>Плата управления Ferroli Vitabel, Fortuna 46562960</t>
  </si>
  <si>
    <t>Расширительный бак 6л Ferroli Vitabel, Divabel 90260930</t>
  </si>
  <si>
    <t>Воздухоотводчик Ferroli Vitabel, Fortuna 46160140</t>
  </si>
  <si>
    <t>Горелка пилотная Ferroli Torino 7248013</t>
  </si>
  <si>
    <t>Газовый клапан TGV 307 Ferroli Torino 902612300</t>
  </si>
  <si>
    <t>Термостат биметаллический +75*С Ferroli Torino 7248045</t>
  </si>
  <si>
    <t>Термостат по перегреву +95*C Ferroli Torino 7248044</t>
  </si>
  <si>
    <t>Датчик NTC ГВС Ferroli Divatech, Bluehelix 3980I070</t>
  </si>
  <si>
    <t>Реле минимального давления Ferroli Divatech, Bluehelix 3980I080</t>
  </si>
  <si>
    <t>Кран подпитки Ferroli Bluehelix 3980I050</t>
  </si>
  <si>
    <t>Прокладка горелки Ferroli Bluehelix 3980H880</t>
  </si>
  <si>
    <t>Датчик температуры дымовых газов Ferroli Bluehelix 39845890</t>
  </si>
  <si>
    <t>Датчик NTC отопления Ferroli Bluehelix 39810220</t>
  </si>
  <si>
    <t>Сервопривод Ferroli Bluehelix, Divatech 3980I090</t>
  </si>
  <si>
    <t>Электрод розжига Ferroli Bluehelix 3980S020</t>
  </si>
  <si>
    <t>Датчик протока ГВС Ferroli Bluehelix, Divatech 3980I060</t>
  </si>
  <si>
    <t>Датчик давления воды Ferroli Force 39806180</t>
  </si>
  <si>
    <t>Датчик дымовых газов Ferroli Force 39845080</t>
  </si>
  <si>
    <t>Датчик безопасности Ferroli Force 3980P290</t>
  </si>
  <si>
    <t>Электрод розжига Ferroli Force 3980P280</t>
  </si>
  <si>
    <t>Нагреватель ТЭН 6кВт Ferroli Tor 902625590</t>
  </si>
  <si>
    <t>Нагреватель ТЭН 9кВт Ferroli Tor 902625610</t>
  </si>
  <si>
    <t>Нагреватель ТЭН 12кВт Ferroli Tor 902625630</t>
  </si>
  <si>
    <t>Электроды комплект Ferroli Pegasus 39814080</t>
  </si>
  <si>
    <t>Термостат регулируемый Ferroli Pegasus D 39802290</t>
  </si>
  <si>
    <t>Термостат 110*С Ferroli Pegasus 39816810</t>
  </si>
  <si>
    <t>Термостат дымовых газов Ferroli Pegasus 39816110</t>
  </si>
  <si>
    <t>Термостат 110*С Ferroli Pegasus 39813600</t>
  </si>
  <si>
    <t>Термостат регулируемый Ferroli Pegasus 39804010</t>
  </si>
  <si>
    <t>Гильза 1/2" L250мм Ferroli Pegasus 39816760</t>
  </si>
  <si>
    <t>Циркуляционный насос Navien Deluxe S/ONE 13-35K 30033192A</t>
  </si>
  <si>
    <t>Газовый клапан Navien NGB210/350 30020818A</t>
  </si>
  <si>
    <t>Блок управления плата Navien NGB210 30029349A</t>
  </si>
  <si>
    <t>Микровыключатель НЕВА 4610 3 провода</t>
  </si>
  <si>
    <t>Камера сгорания в сборе Navien АТМО 13-16А 300033394A</t>
  </si>
  <si>
    <t>Камера сгорания в сборе Navien АТМО 20-24А 30003395A</t>
  </si>
  <si>
    <t>Коллектор дымовых газов 13-24 Navien Deluxe C/S/ONE 30020327A</t>
  </si>
  <si>
    <t>Коллектор дымовых газов Navien Deluxe C/S/ONE 30020348A</t>
  </si>
  <si>
    <t>Магнитный пускатель Navien EQB 12-15HW 30018067A</t>
  </si>
  <si>
    <t>Расширительный бак Navien NGB210 13-24 20024977B</t>
  </si>
  <si>
    <t>Теплообменник ГВС NGB210 13-24 Navien 30019441A</t>
  </si>
  <si>
    <t>Трубка запальника Кебер УГ-29-35-4-30 ТС17-10.00.000-06</t>
  </si>
  <si>
    <t>Коллектор для сжиженного газа NGB210 13-24 Navien 30027935A</t>
  </si>
  <si>
    <t>Ремкомплект для ВПГ VilTerm S10/S11/S13</t>
  </si>
  <si>
    <t>Циркуляционный насос Navien Deluxe S/ONE 13-35K 30031290A</t>
  </si>
  <si>
    <t>Насос топливный плунжерный LFA/LST 21-240К Navien 30004239B</t>
  </si>
  <si>
    <t>Пульт дистанционного управления NR-15SW Navien Deluxe S/C/Е 30021088B</t>
  </si>
  <si>
    <t>Ремкомплект водяного узла ВПГ Siberia Dream</t>
  </si>
  <si>
    <t>ТЭН для электроплиты 1000 Вт 701000 Мечта,Злата</t>
  </si>
  <si>
    <t>Блок управления плата Navien Deluxe ONE 30 30024760B</t>
  </si>
  <si>
    <t>Манометр NGB210 Navien 30023797A</t>
  </si>
  <si>
    <t>Патрубок-адаптер контура ОВ(вход)фильтр-грязевик Navien Deluxe S 13-35K 30020272A</t>
  </si>
  <si>
    <t>Сильфон L-1000мм без гайки Арбат</t>
  </si>
  <si>
    <t>Гидроузел датчика протока с краном подпитки Navien Deluxe 30К 30019904A</t>
  </si>
  <si>
    <t>Гидроузел датчика протока с краном подпитки Navien Deluxe 35K 30013089A</t>
  </si>
  <si>
    <t>Гидроузел c трехходовым клапаном в сборе Deluxe ONE Navien 30024434A</t>
  </si>
  <si>
    <t>Гидроузел с фильтром Navien Deluxe E/C 30018927A</t>
  </si>
  <si>
    <t>Патрубок-адаптер ГВС Navien Deluxe S 24 30015722A</t>
  </si>
  <si>
    <t>Патрубок-адаптер ГВС Navien Deluxe S 35 30015724A</t>
  </si>
  <si>
    <t>Адаптер для насоса Navien Deluxe C/E 20044645A</t>
  </si>
  <si>
    <t>Кольцо теплообменника упорное металлическое Navien Deluxe Deluxe Plus Prime 20021730B</t>
  </si>
  <si>
    <t>Обратный клапан Navien Deluxe S/E 30015223A</t>
  </si>
  <si>
    <t>Входной адаптер теплообменника  Deluxe ONE Navien 30022780A</t>
  </si>
  <si>
    <t>Угловой фитинг обратной линии гидрогруппы Navien Deluxe ONE 20048053A</t>
  </si>
  <si>
    <t>Прокладка камеры сгорания Navien Deluxe 30K 20035355A</t>
  </si>
  <si>
    <t>Прокладка камеры сгорания Navien Deluxe 35-40K 20035356A</t>
  </si>
  <si>
    <t>Прокладка камеры сгорания Navien Prime 13-24K 20035357A</t>
  </si>
  <si>
    <t>Кольцо уплотнительное Navien 20029644A</t>
  </si>
  <si>
    <t>Патрубок контура ОВ проходной(вход)Navien Deluxe S 20035229A</t>
  </si>
  <si>
    <t>Термопара 600мм универсальная М8</t>
  </si>
  <si>
    <t>Электроды розжига Navien Deluxe S/C/E/ONE 13-24 30022103B</t>
  </si>
  <si>
    <t>Камера сгорания Deluxe S/C/ONE 30-35K Navien 30020349A</t>
  </si>
  <si>
    <t>Пульт управления встроенный Navien Deluxe Plus 30015217B</t>
  </si>
  <si>
    <t>Вентилятор Deluxe E Navien 30022769A</t>
  </si>
  <si>
    <t>Датчик по перегреву Navien Deluxe C/E 30002577A</t>
  </si>
  <si>
    <t>Кронштейн металлический крепежный для насоса Navien Deluxe S/ONE 30033137A</t>
  </si>
  <si>
    <t>Тэн для стиральной машины 1600W с датчиком L-175,R-11,M-135 (3121513/34060)</t>
  </si>
  <si>
    <t>Тэн для сттральной машины 2000W с датчиком L-230,R-11,M-175(33121502)</t>
  </si>
  <si>
    <t>Форсунка на дизтопливо Navien LST 50-60KR 20010495A</t>
  </si>
  <si>
    <t>Циркуляционный насос Navien Deluxe C/E 13-35K 30034160A</t>
  </si>
  <si>
    <t>Датчик по перегреву 35-40К Navien ACE Deluxe 30023954A (стар.30002558A)</t>
  </si>
  <si>
    <t>Гидравлическая группа ГВС правая с датчиком протока и краном подпитки Navien NGB 210/150 20040869B</t>
  </si>
  <si>
    <t>Анод магниевый L210 D18 M4x10(100429)</t>
  </si>
  <si>
    <t>Ремкомплект уплотнительных колец для котлов Navien Deluxe,ACE,ATMO,PRIME(на 1 котел)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</si>
</sst>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922.png"/><Relationship Id="rId2" Type="http://schemas.openxmlformats.org/officeDocument/2006/relationships/image" Target="../media/020020000000090351_12923.jpg"/><Relationship Id="rId3" Type="http://schemas.openxmlformats.org/officeDocument/2006/relationships/image" Target="../media/truba_d14_vykhod_goryachey_vody_immergas_1_0228622924.jpg"/><Relationship Id="rId4" Type="http://schemas.openxmlformats.org/officeDocument/2006/relationships/image" Target="../media/korobka_podklyucheniya2925.jpg"/><Relationship Id="rId5" Type="http://schemas.openxmlformats.org/officeDocument/2006/relationships/image" Target="../media/020030000000000200_12926.jpg"/><Relationship Id="rId6" Type="http://schemas.openxmlformats.org/officeDocument/2006/relationships/image" Target="../media/020030000000000500_12927.jpg"/><Relationship Id="rId7" Type="http://schemas.openxmlformats.org/officeDocument/2006/relationships/image" Target="../media/020030000000000600_12928.jpg"/><Relationship Id="rId8" Type="http://schemas.openxmlformats.org/officeDocument/2006/relationships/image" Target="../media/podshipnik_201_master_602929.jpg"/><Relationship Id="rId9" Type="http://schemas.openxmlformats.org/officeDocument/2006/relationships/image" Target="../media/podshipnik_202_master_80_1002930.jpg"/><Relationship Id="rId10" Type="http://schemas.openxmlformats.org/officeDocument/2006/relationships/image" Target="../media/020030000000001000_12931.jpg"/><Relationship Id="rId11" Type="http://schemas.openxmlformats.org/officeDocument/2006/relationships/image" Target="../media/salnik_sm_122932.jpg"/><Relationship Id="rId12" Type="http://schemas.openxmlformats.org/officeDocument/2006/relationships/image" Target="../media/salnik_sm_142933.jpg"/><Relationship Id="rId13" Type="http://schemas.openxmlformats.org/officeDocument/2006/relationships/image" Target="../media/salnik_sm_162934.jpg"/><Relationship Id="rId14" Type="http://schemas.openxmlformats.org/officeDocument/2006/relationships/image" Target="../media/020030000000001800_12935.jpg"/><Relationship Id="rId15" Type="http://schemas.openxmlformats.org/officeDocument/2006/relationships/image" Target="../media/020030000000002100_12936.jpg"/><Relationship Id="rId16" Type="http://schemas.openxmlformats.org/officeDocument/2006/relationships/image" Target="../media/020030000000002500_12937.jpg"/><Relationship Id="rId17" Type="http://schemas.openxmlformats.org/officeDocument/2006/relationships/image" Target="../media/020030000000002700_12938.jpg"/><Relationship Id="rId18" Type="http://schemas.openxmlformats.org/officeDocument/2006/relationships/image" Target="../media/020030000000002900_12939.jpg"/><Relationship Id="rId19" Type="http://schemas.openxmlformats.org/officeDocument/2006/relationships/image" Target="../media/020030000000003000_12940.jpg"/><Relationship Id="rId20" Type="http://schemas.openxmlformats.org/officeDocument/2006/relationships/image" Target="../media/020030000000003200_12941.jpg"/><Relationship Id="rId21" Type="http://schemas.openxmlformats.org/officeDocument/2006/relationships/image" Target="../media/flanets_dvigatelya_80_100_ch_master2942.jpg"/><Relationship Id="rId22" Type="http://schemas.openxmlformats.org/officeDocument/2006/relationships/image" Target="../media/020030000000003500_12943.jpg"/><Relationship Id="rId23" Type="http://schemas.openxmlformats.org/officeDocument/2006/relationships/image" Target="../media/020030000000003800_12944.jpg"/><Relationship Id="rId24" Type="http://schemas.openxmlformats.org/officeDocument/2006/relationships/image" Target="../media/rotor_master_standart_lider_60_ch2945.jpg"/><Relationship Id="rId25" Type="http://schemas.openxmlformats.org/officeDocument/2006/relationships/image" Target="../media/020030000000004100_12946.jpg"/><Relationship Id="rId26" Type="http://schemas.openxmlformats.org/officeDocument/2006/relationships/image" Target="../media/rotor_master_standart_lider_100_ch2947.jpg"/><Relationship Id="rId27" Type="http://schemas.openxmlformats.org/officeDocument/2006/relationships/image" Target="../media/stator_master_602948.jpg"/><Relationship Id="rId28" Type="http://schemas.openxmlformats.org/officeDocument/2006/relationships/image" Target="../media/020030000000004500_12949.jpg"/><Relationship Id="rId29" Type="http://schemas.openxmlformats.org/officeDocument/2006/relationships/image" Target="../media/020030000000004600_12950.jpg"/><Relationship Id="rId30" Type="http://schemas.openxmlformats.org/officeDocument/2006/relationships/image" Target="../media/020030000000004700_12951.jpg"/><Relationship Id="rId31" Type="http://schemas.openxmlformats.org/officeDocument/2006/relationships/image" Target="../media/020030000000004800_12952.jpg"/><Relationship Id="rId32" Type="http://schemas.openxmlformats.org/officeDocument/2006/relationships/image" Target="../media/020030000000004900_12953.jpg"/><Relationship Id="rId33" Type="http://schemas.openxmlformats.org/officeDocument/2006/relationships/image" Target="../media/020030000000005000_12954.jpg"/><Relationship Id="rId34" Type="http://schemas.openxmlformats.org/officeDocument/2006/relationships/image" Target="../media/020030000000005100_12955.jpg"/><Relationship Id="rId35" Type="http://schemas.openxmlformats.org/officeDocument/2006/relationships/image" Target="../media/020030000000005200_12956.jpg"/><Relationship Id="rId36" Type="http://schemas.openxmlformats.org/officeDocument/2006/relationships/image" Target="../media/020030000000005300_12957.jpg"/><Relationship Id="rId37" Type="http://schemas.openxmlformats.org/officeDocument/2006/relationships/image" Target="../media/020030000000005400_12958.jpg"/><Relationship Id="rId38" Type="http://schemas.openxmlformats.org/officeDocument/2006/relationships/image" Target="../media/020030000000004380_12959.jpg"/><Relationship Id="rId39" Type="http://schemas.openxmlformats.org/officeDocument/2006/relationships/image" Target="../media/020030000000003780_12960.jpg"/><Relationship Id="rId40" Type="http://schemas.openxmlformats.org/officeDocument/2006/relationships/image" Target="../media/020020000000000300_12961.jpg"/><Relationship Id="rId41" Type="http://schemas.openxmlformats.org/officeDocument/2006/relationships/image" Target="../media/020020000000000320_12962.jpg"/><Relationship Id="rId42" Type="http://schemas.openxmlformats.org/officeDocument/2006/relationships/image" Target="../media/020020000000000600_12963.jpg"/><Relationship Id="rId43" Type="http://schemas.openxmlformats.org/officeDocument/2006/relationships/image" Target="../media/zmeevik_na_kotyel_don_16_31_5_kvt2964.jpg"/><Relationship Id="rId44" Type="http://schemas.openxmlformats.org/officeDocument/2006/relationships/image" Target="../media/020020000000000700_12965.jpg"/><Relationship Id="rId45" Type="http://schemas.openxmlformats.org/officeDocument/2006/relationships/image" Target="../media/termoregulyator_aguk_1_5t_du_152966.jpg"/><Relationship Id="rId46" Type="http://schemas.openxmlformats.org/officeDocument/2006/relationships/image" Target="../media/termoregulyator_aguk_2t_du_202967.jpg"/><Relationship Id="rId47" Type="http://schemas.openxmlformats.org/officeDocument/2006/relationships/image" Target="../media/020020000000001600_12968.jpg"/><Relationship Id="rId48" Type="http://schemas.openxmlformats.org/officeDocument/2006/relationships/image" Target="../media/020020000000001650_12969.jpg"/><Relationship Id="rId49" Type="http://schemas.openxmlformats.org/officeDocument/2006/relationships/image" Target="../media/020020000000001700_12970.jpg"/><Relationship Id="rId50" Type="http://schemas.openxmlformats.org/officeDocument/2006/relationships/image" Target="../media/020020000000001500_12971.jpg"/><Relationship Id="rId51" Type="http://schemas.openxmlformats.org/officeDocument/2006/relationships/image" Target="../media/020020000000001750_12972.jpg"/><Relationship Id="rId52" Type="http://schemas.openxmlformats.org/officeDocument/2006/relationships/image" Target="../media/020020000000001760_12973.jpg"/><Relationship Id="rId53" Type="http://schemas.openxmlformats.org/officeDocument/2006/relationships/image" Target="../media/020020000000001550_12974.jpg"/><Relationship Id="rId54" Type="http://schemas.openxmlformats.org/officeDocument/2006/relationships/image" Target="../media/020020000000001850_12975.jpg"/><Relationship Id="rId55" Type="http://schemas.openxmlformats.org/officeDocument/2006/relationships/image" Target="../media/020020000000001900_12976.jpg"/><Relationship Id="rId56" Type="http://schemas.openxmlformats.org/officeDocument/2006/relationships/image" Target="../media/kran_gazovyy_aguk_ugop_kstg_shtutser_gayka2977.jpg"/><Relationship Id="rId57" Type="http://schemas.openxmlformats.org/officeDocument/2006/relationships/image" Target="../media/soplo_silumin2978.jpg"/><Relationship Id="rId58" Type="http://schemas.openxmlformats.org/officeDocument/2006/relationships/image" Target="../media/020020000000002300_12979.jpg"/><Relationship Id="rId59" Type="http://schemas.openxmlformats.org/officeDocument/2006/relationships/image" Target="../media/020020000000002400_12980.jpg"/><Relationship Id="rId60" Type="http://schemas.openxmlformats.org/officeDocument/2006/relationships/image" Target="../media/020020000000003000_12981.jpg"/><Relationship Id="rId61" Type="http://schemas.openxmlformats.org/officeDocument/2006/relationships/image" Target="../media/020020000000003050_12982.jpg"/><Relationship Id="rId62" Type="http://schemas.openxmlformats.org/officeDocument/2006/relationships/image" Target="../media/020020000000003100_12983.jpg"/><Relationship Id="rId63" Type="http://schemas.openxmlformats.org/officeDocument/2006/relationships/image" Target="../media/020020000000003150_12984.jpg"/><Relationship Id="rId64" Type="http://schemas.openxmlformats.org/officeDocument/2006/relationships/image" Target="../media/membrana_termodatchika_mimaks_bolshaya2985.jpg"/><Relationship Id="rId65" Type="http://schemas.openxmlformats.org/officeDocument/2006/relationships/image" Target="../media/020020000000003700_12986.jpg"/><Relationship Id="rId66" Type="http://schemas.openxmlformats.org/officeDocument/2006/relationships/image" Target="../media/020020000000003750_12987.jpg"/><Relationship Id="rId67" Type="http://schemas.openxmlformats.org/officeDocument/2006/relationships/image" Target="../media/termodatchik_na_konord_23ts_28ts_35ts_l700_12988.jpg"/><Relationship Id="rId68" Type="http://schemas.openxmlformats.org/officeDocument/2006/relationships/image" Target="../media/020020000000003850_12989.jpg"/><Relationship Id="rId69" Type="http://schemas.openxmlformats.org/officeDocument/2006/relationships/image" Target="../media/termoregulyator_dlya_aogv_rostov_na_donu2990.jpg"/><Relationship Id="rId70" Type="http://schemas.openxmlformats.org/officeDocument/2006/relationships/image" Target="../media/020020000000004550_12991.jpg"/><Relationship Id="rId71" Type="http://schemas.openxmlformats.org/officeDocument/2006/relationships/image" Target="../media/termopara_aogv_11_6_aogv_17_4_s_2006_korotkaya_rostov_na_donu2992.jpg"/><Relationship Id="rId72" Type="http://schemas.openxmlformats.org/officeDocument/2006/relationships/image" Target="../media/termopara_aogv_11_6_aogv_17_4_do_2006_dlinnaya_rostov_na_donu2993.jpg"/><Relationship Id="rId73" Type="http://schemas.openxmlformats.org/officeDocument/2006/relationships/image" Target="../media/termopara_aogv_23_aogv_29_rostov_na_donu2994.jpg"/><Relationship Id="rId74" Type="http://schemas.openxmlformats.org/officeDocument/2006/relationships/image" Target="../media/termopara_aogv_35_rostov_na_donu2995.jpg"/><Relationship Id="rId75" Type="http://schemas.openxmlformats.org/officeDocument/2006/relationships/image" Target="../media/020020000000006100_12996.jpg"/><Relationship Id="rId76" Type="http://schemas.openxmlformats.org/officeDocument/2006/relationships/image" Target="../media/kabel_rozzhiga_sit_l400mm2997.jpg"/><Relationship Id="rId77" Type="http://schemas.openxmlformats.org/officeDocument/2006/relationships/image" Target="../media/iskrovoy_elektrod_pezo_sit2998.jpg"/><Relationship Id="rId78" Type="http://schemas.openxmlformats.org/officeDocument/2006/relationships/image" Target="../media/pezoknopka_75082_zhmz_031_0362_002999.jpg"/><Relationship Id="rId79" Type="http://schemas.openxmlformats.org/officeDocument/2006/relationships/image" Target="../media/020020000000006200_13000.jpg"/><Relationship Id="rId80" Type="http://schemas.openxmlformats.org/officeDocument/2006/relationships/image" Target="../media/020020000000006115_13001.jpg"/><Relationship Id="rId81" Type="http://schemas.openxmlformats.org/officeDocument/2006/relationships/image" Target="../media/020020000000006300_13002.jpg"/><Relationship Id="rId82" Type="http://schemas.openxmlformats.org/officeDocument/2006/relationships/image" Target="../media/020020000000006360_13003.jpg"/><Relationship Id="rId83" Type="http://schemas.openxmlformats.org/officeDocument/2006/relationships/image" Target="../media/020020000000006370_13004.jpg"/><Relationship Id="rId84" Type="http://schemas.openxmlformats.org/officeDocument/2006/relationships/image" Target="../media/termopara_364006_aogv_17_29_do_2003_g_zhmz3005.jpg"/><Relationship Id="rId85" Type="http://schemas.openxmlformats.org/officeDocument/2006/relationships/image" Target="../media/termopara_364018_aogv_17_29_s_2004_g_zhmz3006.jpg"/><Relationship Id="rId86" Type="http://schemas.openxmlformats.org/officeDocument/2006/relationships/image" Target="../media/termopara_301059_aogv_17_29_do_2002_g_zhmz3007.jpg"/><Relationship Id="rId87" Type="http://schemas.openxmlformats.org/officeDocument/2006/relationships/image" Target="../media/termopara_301002_aogv_17_23_do_1996_g_zhmz3008.jpg"/><Relationship Id="rId88" Type="http://schemas.openxmlformats.org/officeDocument/2006/relationships/image" Target="../media/termopara_390005_aogv_11_6_s_2004_g_zhmz3009.jpg"/><Relationship Id="rId89" Type="http://schemas.openxmlformats.org/officeDocument/2006/relationships/image" Target="../media/termopara_336006_aogv_11_6_do_2004_g_zhmz3010.jpg"/><Relationship Id="rId90" Type="http://schemas.openxmlformats.org/officeDocument/2006/relationships/image" Target="../media/termopara_416005_aogv_17_29_universal_sabk_zhmz3011.jpg"/><Relationship Id="rId91" Type="http://schemas.openxmlformats.org/officeDocument/2006/relationships/image" Target="../media/termopara_376004_aogv_17_23_honeywell_do_2002_g_zhmz3012.jpg"/><Relationship Id="rId92" Type="http://schemas.openxmlformats.org/officeDocument/2006/relationships/image" Target="../media/020020000000006700_13013.jpg"/><Relationship Id="rId93" Type="http://schemas.openxmlformats.org/officeDocument/2006/relationships/image" Target="../media/020020000000006720_13014.jpg"/><Relationship Id="rId94" Type="http://schemas.openxmlformats.org/officeDocument/2006/relationships/image" Target="../media/020020000000007000_13015.jpg"/><Relationship Id="rId95" Type="http://schemas.openxmlformats.org/officeDocument/2006/relationships/image" Target="../media/020020000000007010_13016.jpg"/><Relationship Id="rId96" Type="http://schemas.openxmlformats.org/officeDocument/2006/relationships/image" Target="../media/020020000000007100_13017.jpg"/><Relationship Id="rId97" Type="http://schemas.openxmlformats.org/officeDocument/2006/relationships/image" Target="../media/020020000000007150_13018.jpg"/><Relationship Id="rId98" Type="http://schemas.openxmlformats.org/officeDocument/2006/relationships/image" Target="../media/020020000000007300_13019.jpg"/><Relationship Id="rId99" Type="http://schemas.openxmlformats.org/officeDocument/2006/relationships/image" Target="../media/020020000000007450_13020.jpg"/><Relationship Id="rId100" Type="http://schemas.openxmlformats.org/officeDocument/2006/relationships/image" Target="../media/termopara_265_mm_arbat_m83021.jpg"/><Relationship Id="rId101" Type="http://schemas.openxmlformats.org/officeDocument/2006/relationships/image" Target="../media/020020000000009050_13022.jpg"/><Relationship Id="rId102" Type="http://schemas.openxmlformats.org/officeDocument/2006/relationships/image" Target="../media/020020000000009100_13023.jpg"/><Relationship Id="rId103" Type="http://schemas.openxmlformats.org/officeDocument/2006/relationships/image" Target="../media/020020000000009150_13024.jpg"/><Relationship Id="rId104" Type="http://schemas.openxmlformats.org/officeDocument/2006/relationships/image" Target="../media/020020000000009200_13025.jpg"/><Relationship Id="rId105" Type="http://schemas.openxmlformats.org/officeDocument/2006/relationships/image" Target="../media/termopara_800_mm_arbat_m83026.jpg"/><Relationship Id="rId106" Type="http://schemas.openxmlformats.org/officeDocument/2006/relationships/image" Target="../media/termopara_900_mm_arbat_m83027.jpg"/><Relationship Id="rId107" Type="http://schemas.openxmlformats.org/officeDocument/2006/relationships/image" Target="../media/termopara_1000_mm_arbat_m83028.jpg"/><Relationship Id="rId108" Type="http://schemas.openxmlformats.org/officeDocument/2006/relationships/image" Target="../media/020020000000009400_13029.jpg"/><Relationship Id="rId109" Type="http://schemas.openxmlformats.org/officeDocument/2006/relationships/image" Target="../media/020020000000009450_13030.jpg"/><Relationship Id="rId110" Type="http://schemas.openxmlformats.org/officeDocument/2006/relationships/image" Target="../media/termopara_700_mm_arbat_m93031.jpg"/><Relationship Id="rId111" Type="http://schemas.openxmlformats.org/officeDocument/2006/relationships/image" Target="../media/termopara_950_mm_arbat_m93032.jpg"/><Relationship Id="rId112" Type="http://schemas.openxmlformats.org/officeDocument/2006/relationships/image" Target="../media/020020000000009600_13033.jpg"/><Relationship Id="rId113" Type="http://schemas.openxmlformats.org/officeDocument/2006/relationships/image" Target="../media/020020000000009800_13034.jpg"/><Relationship Id="rId114" Type="http://schemas.openxmlformats.org/officeDocument/2006/relationships/image" Target="../media/020020000000009900_13035.jpg"/><Relationship Id="rId115" Type="http://schemas.openxmlformats.org/officeDocument/2006/relationships/image" Target="../media/termoparnyy_generator_tg_4_tonkiy3036.jpg"/><Relationship Id="rId116" Type="http://schemas.openxmlformats.org/officeDocument/2006/relationships/image" Target="../media/dptek_datchik_predelnoy_temperatury_elektrokontaktnyy_signal3037.jpg"/><Relationship Id="rId117" Type="http://schemas.openxmlformats.org/officeDocument/2006/relationships/image" Target="../media/020020000000010450_13038.jpg"/><Relationship Id="rId118" Type="http://schemas.openxmlformats.org/officeDocument/2006/relationships/image" Target="../media/kolosnik_kstg_mimaks3039.jpg"/><Relationship Id="rId119" Type="http://schemas.openxmlformats.org/officeDocument/2006/relationships/image" Target="../media/trubka_zapalnika_zhmz_428005_aogv_17_23_universal3040.jpg"/><Relationship Id="rId120" Type="http://schemas.openxmlformats.org/officeDocument/2006/relationships/image" Target="../media/020020000000006680_13041.jpg"/><Relationship Id="rId121" Type="http://schemas.openxmlformats.org/officeDocument/2006/relationships/image" Target="../media/teploobmennik_vpg_18_astra3042.jpg"/><Relationship Id="rId122" Type="http://schemas.openxmlformats.org/officeDocument/2006/relationships/image" Target="../media/teploobmennik_vpg_21_astra3043.jpg"/><Relationship Id="rId123" Type="http://schemas.openxmlformats.org/officeDocument/2006/relationships/image" Target="../media/vodyanoy_blok_vpg_astra3044.jpg"/><Relationship Id="rId124" Type="http://schemas.openxmlformats.org/officeDocument/2006/relationships/image" Target="../media/membrana_vpg_astra3045.jpg"/><Relationship Id="rId125" Type="http://schemas.openxmlformats.org/officeDocument/2006/relationships/image" Target="../media/020040000000000450_13046.jpg"/><Relationship Id="rId126" Type="http://schemas.openxmlformats.org/officeDocument/2006/relationships/image" Target="../media/teploobmennik_vpg_neva_4510_3227_03_000_do_2015g3047.jpg"/><Relationship Id="rId127" Type="http://schemas.openxmlformats.org/officeDocument/2006/relationships/image" Target="../media/mikrovyklyuchatel_vpg_vest3048.jpg"/><Relationship Id="rId128" Type="http://schemas.openxmlformats.org/officeDocument/2006/relationships/image" Target="../media/020040000000001200_13049.jpg"/><Relationship Id="rId129" Type="http://schemas.openxmlformats.org/officeDocument/2006/relationships/image" Target="../media/020040000000001250_13050.jpg"/><Relationship Id="rId130" Type="http://schemas.openxmlformats.org/officeDocument/2006/relationships/image" Target="../media/020040000000001300_13051.jpg"/><Relationship Id="rId131" Type="http://schemas.openxmlformats.org/officeDocument/2006/relationships/image" Target="../media/020040000000001350_13052.jpg"/><Relationship Id="rId132" Type="http://schemas.openxmlformats.org/officeDocument/2006/relationships/image" Target="../media/020040000000001390_13053.jpg"/><Relationship Id="rId133" Type="http://schemas.openxmlformats.org/officeDocument/2006/relationships/image" Target="../media/ruchka_regulirovki_malaya_vpg_vest3054.jpg"/><Relationship Id="rId134" Type="http://schemas.openxmlformats.org/officeDocument/2006/relationships/image" Target="../media/zhikler_na_szhizhennyy_gaz_vpg_vest3055.jpg"/><Relationship Id="rId135" Type="http://schemas.openxmlformats.org/officeDocument/2006/relationships/image" Target="../media/020040000000001650_13056.jpg"/><Relationship Id="rId136" Type="http://schemas.openxmlformats.org/officeDocument/2006/relationships/image" Target="../media/teploobmennik_vpg_5_6l_vest3057.jpg"/><Relationship Id="rId137" Type="http://schemas.openxmlformats.org/officeDocument/2006/relationships/image" Target="../media/teploobmennik_vpg_8l_vest3058.jpg"/><Relationship Id="rId138" Type="http://schemas.openxmlformats.org/officeDocument/2006/relationships/image" Target="../media/020040000000002100_13059.jpg"/><Relationship Id="rId139" Type="http://schemas.openxmlformats.org/officeDocument/2006/relationships/image" Target="../media/020040000000002210_13060.jpg"/><Relationship Id="rId140" Type="http://schemas.openxmlformats.org/officeDocument/2006/relationships/image" Target="../media/020040000000002215_13061.jpg"/><Relationship Id="rId141" Type="http://schemas.openxmlformats.org/officeDocument/2006/relationships/image" Target="../media/020040000000002220_13062.jpg"/><Relationship Id="rId142" Type="http://schemas.openxmlformats.org/officeDocument/2006/relationships/image" Target="../media/gazovyy_blok_vpg_8l_vest3063.png"/><Relationship Id="rId143" Type="http://schemas.openxmlformats.org/officeDocument/2006/relationships/image" Target="../media/gazovyy_blok_vpg_10l_vest3064.png"/><Relationship Id="rId144" Type="http://schemas.openxmlformats.org/officeDocument/2006/relationships/image" Target="../media/gazovyy_blok_vpg_12l_vest3065.png"/><Relationship Id="rId145" Type="http://schemas.openxmlformats.org/officeDocument/2006/relationships/image" Target="../media/gazovyy_blok_vpg_14l_vest3066.png"/><Relationship Id="rId146" Type="http://schemas.openxmlformats.org/officeDocument/2006/relationships/image" Target="../media/gazovyy_blok_vpg_16l_vest3067.png"/><Relationship Id="rId147" Type="http://schemas.openxmlformats.org/officeDocument/2006/relationships/image" Target="../media/membrana_klapana_mimaks3068.jpg"/><Relationship Id="rId148" Type="http://schemas.openxmlformats.org/officeDocument/2006/relationships/image" Target="../media/020020000000006670_13069.jpg"/><Relationship Id="rId149" Type="http://schemas.openxmlformats.org/officeDocument/2006/relationships/image" Target="../media/trubka_zapalnika_zhmz_431005_aogv_11_6_universal3070.jpg"/><Relationship Id="rId150" Type="http://schemas.openxmlformats.org/officeDocument/2006/relationships/image" Target="../media/020040000000001460_13071.jpg"/><Relationship Id="rId151" Type="http://schemas.openxmlformats.org/officeDocument/2006/relationships/image" Target="../media/elektromagnitnyy_klapan_arbat_orion_c_2007g_d_143072.jpg"/><Relationship Id="rId152" Type="http://schemas.openxmlformats.org/officeDocument/2006/relationships/image" Target="../media/020020000000006001_13073.jpg"/><Relationship Id="rId153" Type="http://schemas.openxmlformats.org/officeDocument/2006/relationships/image" Target="../media/elektromagnitnyy_klapan_arbat_orion_do_2007g_d_163074.jpg"/><Relationship Id="rId154" Type="http://schemas.openxmlformats.org/officeDocument/2006/relationships/image" Target="../media/termopara_375009_aogv_17_23_honeywell_2004_g_zhmz3075.jpg"/><Relationship Id="rId155" Type="http://schemas.openxmlformats.org/officeDocument/2006/relationships/image" Target="../media/termopara_381008_aogv_11_6_honeywell_c_2004_g_zhmz3076.jpg"/><Relationship Id="rId156" Type="http://schemas.openxmlformats.org/officeDocument/2006/relationships/image" Target="../media/termopara_378003_aogv_43_50_s_2003_g_zhmz3077.jpg"/><Relationship Id="rId157" Type="http://schemas.openxmlformats.org/officeDocument/2006/relationships/image" Target="../media/mikrovyklyuchatel_vpg_neva_4510_4511_3227_02_3303078.jpg"/><Relationship Id="rId158" Type="http://schemas.openxmlformats.org/officeDocument/2006/relationships/image" Target="../media/000180000000000092_13079.jpg"/><Relationship Id="rId159" Type="http://schemas.openxmlformats.org/officeDocument/2006/relationships/image" Target="../media/rotor_master_standart_80_n3080.jpg"/><Relationship Id="rId160" Type="http://schemas.openxmlformats.org/officeDocument/2006/relationships/image" Target="../media/rotor_master_standart_100_n3081.jpg"/><Relationship Id="rId161" Type="http://schemas.openxmlformats.org/officeDocument/2006/relationships/image" Target="../media/020040000000030925_13082.jpg"/><Relationship Id="rId162" Type="http://schemas.openxmlformats.org/officeDocument/2006/relationships/image" Target="../media/remkomplekt_vpg_18_vpg_20_vpg_23_neva_32083083.jpg"/><Relationship Id="rId163" Type="http://schemas.openxmlformats.org/officeDocument/2006/relationships/image" Target="../media/remkomplekt_vpg_astra_8910_10_s_2002g3084.jpg"/><Relationship Id="rId164" Type="http://schemas.openxmlformats.org/officeDocument/2006/relationships/image" Target="../media/000180000000000094_13085.jpg"/><Relationship Id="rId165" Type="http://schemas.openxmlformats.org/officeDocument/2006/relationships/image" Target="../media/termopara_320_mm_sit_m9_a13086.jpg"/><Relationship Id="rId166" Type="http://schemas.openxmlformats.org/officeDocument/2006/relationships/image" Target="../media/termopreryvatel_sit_0_974_4023087.jpg"/><Relationship Id="rId167" Type="http://schemas.openxmlformats.org/officeDocument/2006/relationships/image" Target="../media/termopara_431004_aogv_11_6_sit_zhmz3088.jpg"/><Relationship Id="rId168" Type="http://schemas.openxmlformats.org/officeDocument/2006/relationships/image" Target="../media/termopara_428004_aogv_17_23_sit_zhmz3089.jpg"/><Relationship Id="rId169" Type="http://schemas.openxmlformats.org/officeDocument/2006/relationships/image" Target="../media/termopara_600_mm_sit_m9_a13090.jpg"/><Relationship Id="rId170" Type="http://schemas.openxmlformats.org/officeDocument/2006/relationships/image" Target="../media/020020000000001740_13091.jpg"/><Relationship Id="rId171" Type="http://schemas.openxmlformats.org/officeDocument/2006/relationships/image" Target="../media/elektrod_83488_zhmz3092.jpg"/><Relationship Id="rId172" Type="http://schemas.openxmlformats.org/officeDocument/2006/relationships/image" Target="../media/020020000000050000_13093.jpg"/><Relationship Id="rId173" Type="http://schemas.openxmlformats.org/officeDocument/2006/relationships/image" Target="../media/020020000000050300_13094.jpg"/><Relationship Id="rId174" Type="http://schemas.openxmlformats.org/officeDocument/2006/relationships/image" Target="../media/020020000000050350_13095.jpg"/><Relationship Id="rId175" Type="http://schemas.openxmlformats.org/officeDocument/2006/relationships/image" Target="../media/020020000000050500_13096.jpg"/><Relationship Id="rId176" Type="http://schemas.openxmlformats.org/officeDocument/2006/relationships/image" Target="../media/teploobmennik_vpg_16l_vest3097.jpg"/><Relationship Id="rId177" Type="http://schemas.openxmlformats.org/officeDocument/2006/relationships/image" Target="../media/020040000000001080_13098.jpg"/><Relationship Id="rId178" Type="http://schemas.openxmlformats.org/officeDocument/2006/relationships/image" Target="../media/020040000000001480_13099.jpg"/><Relationship Id="rId179" Type="http://schemas.openxmlformats.org/officeDocument/2006/relationships/image" Target="../media/020020000000050520_13100.jpg"/><Relationship Id="rId180" Type="http://schemas.openxmlformats.org/officeDocument/2006/relationships/image" Target="../media/020020000000050550_13101.jpg"/><Relationship Id="rId181" Type="http://schemas.openxmlformats.org/officeDocument/2006/relationships/image" Target="../media/termometr_bt_51_70_rosma_d100mm3102.jpg"/><Relationship Id="rId182" Type="http://schemas.openxmlformats.org/officeDocument/2006/relationships/image" Target="../media/020020000000000705_13103.jpg"/><Relationship Id="rId183" Type="http://schemas.openxmlformats.org/officeDocument/2006/relationships/image" Target="../media/020040000000030840_13104.jpg"/><Relationship Id="rId184" Type="http://schemas.openxmlformats.org/officeDocument/2006/relationships/image" Target="../media/020020000000050355_13105.jpg"/><Relationship Id="rId185" Type="http://schemas.openxmlformats.org/officeDocument/2006/relationships/image" Target="../media/termostat_komnatnyy_immergas_3_0122873106.jpg"/><Relationship Id="rId186" Type="http://schemas.openxmlformats.org/officeDocument/2006/relationships/image" Target="../media/elektromagnitnyy_klapan_tgv_sit3107.jpg"/><Relationship Id="rId187" Type="http://schemas.openxmlformats.org/officeDocument/2006/relationships/image" Target="../media/020020000000000120_13108.jpg"/><Relationship Id="rId188" Type="http://schemas.openxmlformats.org/officeDocument/2006/relationships/image" Target="../media/remkomplekt_vodyanogo_bloka_kgi_563109.jpg"/><Relationship Id="rId189" Type="http://schemas.openxmlformats.org/officeDocument/2006/relationships/image" Target="../media/020020000000050310_13110.jpg"/><Relationship Id="rId190" Type="http://schemas.openxmlformats.org/officeDocument/2006/relationships/image" Target="../media/020020000000049000_13111.jpg"/><Relationship Id="rId191" Type="http://schemas.openxmlformats.org/officeDocument/2006/relationships/image" Target="../media/020020000000049100_13112.jpg"/><Relationship Id="rId192" Type="http://schemas.openxmlformats.org/officeDocument/2006/relationships/image" Target="../media/soplo_latunnoe_aguk_ugop3113.jpg"/><Relationship Id="rId193" Type="http://schemas.openxmlformats.org/officeDocument/2006/relationships/image" Target="../media/020020000000006165_13114.jpg"/><Relationship Id="rId194" Type="http://schemas.openxmlformats.org/officeDocument/2006/relationships/image" Target="../media/termostat_reguliruemyy_tr_2_540355_sit_820_nova3115.jpg"/><Relationship Id="rId195" Type="http://schemas.openxmlformats.org/officeDocument/2006/relationships/image" Target="../media/020020000000007155_13116.jpg"/><Relationship Id="rId196" Type="http://schemas.openxmlformats.org/officeDocument/2006/relationships/image" Target="../media/membrana_vpg_neva_4510_4511_3227_02_278_do_2014g_d76mm3117.jpg"/><Relationship Id="rId197" Type="http://schemas.openxmlformats.org/officeDocument/2006/relationships/image" Target="../media/prokladka_301021_dlya_aogv_11_6_zhmz3118.jpg"/><Relationship Id="rId198" Type="http://schemas.openxmlformats.org/officeDocument/2006/relationships/image" Target="../media/020020000000090000_13119.jpg"/><Relationship Id="rId199" Type="http://schemas.openxmlformats.org/officeDocument/2006/relationships/image" Target="../media/datchik_po_peregrevu_navien_30002564a3120.jpg"/><Relationship Id="rId200" Type="http://schemas.openxmlformats.org/officeDocument/2006/relationships/image" Target="../media/ventilyator_navien_ase_30_35_ase_coaxial_13_30_30005562c3121.jpg"/><Relationship Id="rId201" Type="http://schemas.openxmlformats.org/officeDocument/2006/relationships/image" Target="../media/manometr_navien_deluxe_30002308s3122.jpg"/><Relationship Id="rId202" Type="http://schemas.openxmlformats.org/officeDocument/2006/relationships/image" Target="../media/ventilyator_eolo_star_24_3e_immergas_1_0257943123.jpg"/><Relationship Id="rId203" Type="http://schemas.openxmlformats.org/officeDocument/2006/relationships/image" Target="../media/020020000000090120_13124.jpg"/><Relationship Id="rId204" Type="http://schemas.openxmlformats.org/officeDocument/2006/relationships/image" Target="../media/rasshiritelnyy_bak_navien_coaxial_13_30k_30003945g3125.jpg"/><Relationship Id="rId205" Type="http://schemas.openxmlformats.org/officeDocument/2006/relationships/image" Target="../media/020020000000090105_13126.jpg"/><Relationship Id="rId206" Type="http://schemas.openxmlformats.org/officeDocument/2006/relationships/image" Target="../media/datchik_protoka_otopleniya_navien_13_40_30002724c3127.jpg"/><Relationship Id="rId207" Type="http://schemas.openxmlformats.org/officeDocument/2006/relationships/image" Target="../media/020020000000090450_13128.jpg"/><Relationship Id="rId208" Type="http://schemas.openxmlformats.org/officeDocument/2006/relationships/image" Target="../media/020020000000050105_13129.jpg"/><Relationship Id="rId209" Type="http://schemas.openxmlformats.org/officeDocument/2006/relationships/image" Target="../media/gazovyy_klapan_navien_ase_30002197a3130.jpg"/><Relationship Id="rId210" Type="http://schemas.openxmlformats.org/officeDocument/2006/relationships/image" Target="../media/020020000000090410_13131.jpg"/><Relationship Id="rId211" Type="http://schemas.openxmlformats.org/officeDocument/2006/relationships/image" Target="../media/blok_tenov_6_kvt_mimaks3132.jpg"/><Relationship Id="rId212" Type="http://schemas.openxmlformats.org/officeDocument/2006/relationships/image" Target="../media/trubka_zapalnika_zhmz_381007_aogv_11_6_komfort_s_2004_g3133.jpg"/><Relationship Id="rId213" Type="http://schemas.openxmlformats.org/officeDocument/2006/relationships/image" Target="../media/datchik_temperatury_gvs_navien_13_40_30002643a3134.jpg"/><Relationship Id="rId214" Type="http://schemas.openxmlformats.org/officeDocument/2006/relationships/image" Target="../media/datchik_davleniya_vozdukha_navien_30000660a3135.jpg"/><Relationship Id="rId215" Type="http://schemas.openxmlformats.org/officeDocument/2006/relationships/image" Target="../media/020020000000090452_13136.jpg"/><Relationship Id="rId216" Type="http://schemas.openxmlformats.org/officeDocument/2006/relationships/image" Target="../media/rotor_master_standart_60_n3137.jpg"/><Relationship Id="rId217" Type="http://schemas.openxmlformats.org/officeDocument/2006/relationships/image" Target="../media/teploobmennik_gvs_navien_ase_24k_atmo_20_24a_30004997a3138.jpg"/><Relationship Id="rId218" Type="http://schemas.openxmlformats.org/officeDocument/2006/relationships/image" Target="../media/trubka_zapalnika_20sm_gazopodvod_mimaks3139.jpg"/><Relationship Id="rId219" Type="http://schemas.openxmlformats.org/officeDocument/2006/relationships/image" Target="../media/pult_distantsionnogo_upravleniya_nr_30s_navien_prime_30012968a3140.jpg"/><Relationship Id="rId220" Type="http://schemas.openxmlformats.org/officeDocument/2006/relationships/image" Target="../media/vozdukhootvodchik_nasosa_navien_30014451a3141.jpg"/><Relationship Id="rId221" Type="http://schemas.openxmlformats.org/officeDocument/2006/relationships/image" Target="../media/020020000000090610_13142.jpg"/><Relationship Id="rId222" Type="http://schemas.openxmlformats.org/officeDocument/2006/relationships/image" Target="../media/ten_1_2_kvt_sukhoy3143.jpg"/><Relationship Id="rId223" Type="http://schemas.openxmlformats.org/officeDocument/2006/relationships/image" Target="../media/ten_prizhimnoy_1_5_kvt_m5_rca_dlinnaya_klemma_307163144.jpg"/><Relationship Id="rId224" Type="http://schemas.openxmlformats.org/officeDocument/2006/relationships/image" Target="../media/ten_prizhimnoy_1_5_kvt_m6_rcf_korotkaya_klemma_304613145.jpg"/><Relationship Id="rId225" Type="http://schemas.openxmlformats.org/officeDocument/2006/relationships/image" Target="../media/ten_prizhimnoy_2_0_kvt_m5_rca_dlinnaya_klemma_200263146.jpg"/><Relationship Id="rId226" Type="http://schemas.openxmlformats.org/officeDocument/2006/relationships/image" Target="../media/000170000002020600_13147.jpg"/><Relationship Id="rId227" Type="http://schemas.openxmlformats.org/officeDocument/2006/relationships/image" Target="../media/ten_rf64_0_7_kvt_m43148.jpg"/><Relationship Id="rId228" Type="http://schemas.openxmlformats.org/officeDocument/2006/relationships/image" Target="../media/ten_rf64_0_7_kvt_m4_s_anodom3149.jpg"/><Relationship Id="rId229" Type="http://schemas.openxmlformats.org/officeDocument/2006/relationships/image" Target="../media/ten_rf64_1_3_kvt_m43150.jpg"/><Relationship Id="rId230" Type="http://schemas.openxmlformats.org/officeDocument/2006/relationships/image" Target="../media/ten_rf64_1_3_kvt_m4_s_anodom_termeks_200873151.jpg"/><Relationship Id="rId231" Type="http://schemas.openxmlformats.org/officeDocument/2006/relationships/image" Target="../media/000170000003204000_13152.jpg"/><Relationship Id="rId232" Type="http://schemas.openxmlformats.org/officeDocument/2006/relationships/image" Target="../media/ten_rf64_dvoynoy_0_7_1_3_kvt_m4_termeks3153.jpg"/><Relationship Id="rId233" Type="http://schemas.openxmlformats.org/officeDocument/2006/relationships/image" Target="../media/000170000003821500_13154.jpg"/><Relationship Id="rId234" Type="http://schemas.openxmlformats.org/officeDocument/2006/relationships/image" Target="../media/ten_rf82_1_5_kvt_m6_30_150l_termeks_200793155.jpg"/><Relationship Id="rId235" Type="http://schemas.openxmlformats.org/officeDocument/2006/relationships/image" Target="../media/ten_rezbovoy_1_2_kvt_s_termostatom_rdt3156.jpg"/><Relationship Id="rId236" Type="http://schemas.openxmlformats.org/officeDocument/2006/relationships/image" Target="../media/ten_rezbovoy_1_5_kvt_s_termostatom_rdt3157.jpg"/><Relationship Id="rId237" Type="http://schemas.openxmlformats.org/officeDocument/2006/relationships/image" Target="../media/ten_rezbovoy_1_5_kvt_m6_rdt3158.jpg"/><Relationship Id="rId238" Type="http://schemas.openxmlformats.org/officeDocument/2006/relationships/image" Target="../media/ten_rezbovoy_2_0_kvt_s_termostatom_rdt3159.jpg"/><Relationship Id="rId239" Type="http://schemas.openxmlformats.org/officeDocument/2006/relationships/image" Target="../media/ten_rezbovoy_2_0_kvt_m6_rdt3160.jpg"/><Relationship Id="rId240" Type="http://schemas.openxmlformats.org/officeDocument/2006/relationships/image" Target="../media/ten_rezbovoy_2_5_kvt_m6_rdt3161.jpg"/><Relationship Id="rId241" Type="http://schemas.openxmlformats.org/officeDocument/2006/relationships/image" Target="../media/ten_rezbovoy_3_0_kvt_m6_rdt3162.jpg"/><Relationship Id="rId242" Type="http://schemas.openxmlformats.org/officeDocument/2006/relationships/image" Target="../media/000170000005000000_13163.jpg"/><Relationship Id="rId243" Type="http://schemas.openxmlformats.org/officeDocument/2006/relationships/image" Target="../media/000170000005000100_13164.jpg"/><Relationship Id="rId244" Type="http://schemas.openxmlformats.org/officeDocument/2006/relationships/image" Target="../media/prokladka_dlya_flantsevogo_tena_rf_62kh17_5_mm_termeks3165.jpg"/><Relationship Id="rId245" Type="http://schemas.openxmlformats.org/officeDocument/2006/relationships/image" Target="../media/prokladka_dlya_flantsevogo_tena_rf82_termeks_661623166.jpg"/><Relationship Id="rId246" Type="http://schemas.openxmlformats.org/officeDocument/2006/relationships/image" Target="../media/000170000005000400_13167.jpg"/><Relationship Id="rId247" Type="http://schemas.openxmlformats.org/officeDocument/2006/relationships/image" Target="../media/000170000006012060_23168.jpg"/><Relationship Id="rId248" Type="http://schemas.openxmlformats.org/officeDocument/2006/relationships/image" Target="../media/000170000006012061_13169.jpg"/><Relationship Id="rId249" Type="http://schemas.openxmlformats.org/officeDocument/2006/relationships/image" Target="../media/termostat_sterzhnevoy_15_a_80_s3170.jpg"/><Relationship Id="rId250" Type="http://schemas.openxmlformats.org/officeDocument/2006/relationships/image" Target="../media/000170000007000200_13171.jpg"/><Relationship Id="rId251" Type="http://schemas.openxmlformats.org/officeDocument/2006/relationships/image" Target="../media/000170000007000300_13172.jpg"/><Relationship Id="rId252" Type="http://schemas.openxmlformats.org/officeDocument/2006/relationships/image" Target="../media/anod_magnievyy_l100_d18_m6x1803173.jpg"/><Relationship Id="rId253" Type="http://schemas.openxmlformats.org/officeDocument/2006/relationships/image" Target="../media/000170006120166010_13174.jpg"/><Relationship Id="rId254" Type="http://schemas.openxmlformats.org/officeDocument/2006/relationships/image" Target="../media/000170006140144020_13175.jpg"/><Relationship Id="rId255" Type="http://schemas.openxmlformats.org/officeDocument/2006/relationships/image" Target="../media/000170006200186180_13176.jpg"/><Relationship Id="rId256" Type="http://schemas.openxmlformats.org/officeDocument/2006/relationships/image" Target="../media/anod_magnievyy_l210_d22_m6x103177.jpg"/><Relationship Id="rId257" Type="http://schemas.openxmlformats.org/officeDocument/2006/relationships/image" Target="../media/anod_magnievyy_l230_d22_m5x103178.jpg"/><Relationship Id="rId258" Type="http://schemas.openxmlformats.org/officeDocument/2006/relationships/image" Target="../media/korpus_sukhogo_tena3179.jpg"/><Relationship Id="rId259" Type="http://schemas.openxmlformats.org/officeDocument/2006/relationships/image" Target="../media/pult_distantsionnogo_upravleniya_nr_15s_navien_deluxe_ase_30012601d3180.jpg"/><Relationship Id="rId260" Type="http://schemas.openxmlformats.org/officeDocument/2006/relationships/image" Target="../media/anod_magnievyy_l110_d21_m5x103181.jpg"/><Relationship Id="rId261" Type="http://schemas.openxmlformats.org/officeDocument/2006/relationships/image" Target="../media/teploobmennik_gvs_navien_deluxe_13_20_30004993a3182.jpg"/><Relationship Id="rId262" Type="http://schemas.openxmlformats.org/officeDocument/2006/relationships/image" Target="../media/teploobmennik_gvs_navien_deluxe_24_ase_13_20_30004995a3183.jpg"/><Relationship Id="rId263" Type="http://schemas.openxmlformats.org/officeDocument/2006/relationships/image" Target="../media/teploobmennik_gvs_navien_deluxe_30_ase_30_30005005a3184.jpg"/><Relationship Id="rId264" Type="http://schemas.openxmlformats.org/officeDocument/2006/relationships/image" Target="../media/teploobmennik_gvs_navien_deluxe_35k_30005008a3185.jpg"/><Relationship Id="rId265" Type="http://schemas.openxmlformats.org/officeDocument/2006/relationships/image" Target="../media/kamera_sgoraniya_navien_13_24k_30003351g3186.jpg"/><Relationship Id="rId266" Type="http://schemas.openxmlformats.org/officeDocument/2006/relationships/image" Target="../media/filtr_dlya_ochistki_vody_setchatyy_gryazevik_navien_deluxe_30002514v3187.jpg"/><Relationship Id="rId267" Type="http://schemas.openxmlformats.org/officeDocument/2006/relationships/image" Target="../media/ventilyator_navien_deluxe_13_24_30012680a3188.jpg"/><Relationship Id="rId268" Type="http://schemas.openxmlformats.org/officeDocument/2006/relationships/image" Target="../media/teploobmennik_pervichnyy_navien_deluxe_atmo_13_16a_30004896a3189.jpg"/><Relationship Id="rId269" Type="http://schemas.openxmlformats.org/officeDocument/2006/relationships/image" Target="../media/teploobmennik_pervichnyy_navien_deluxe_atmo_20_24a_30004894a3190.jpg"/><Relationship Id="rId270" Type="http://schemas.openxmlformats.org/officeDocument/2006/relationships/image" Target="../media/020040000000030821_13191.jpg"/><Relationship Id="rId271" Type="http://schemas.openxmlformats.org/officeDocument/2006/relationships/image" Target="../media/020040000000030841_13192.jpg"/><Relationship Id="rId272" Type="http://schemas.openxmlformats.org/officeDocument/2006/relationships/image" Target="../media/000170000003156000_13193.jpg"/><Relationship Id="rId273" Type="http://schemas.openxmlformats.org/officeDocument/2006/relationships/image" Target="../media/transformator_rozzhiga_navien_ga_gst_30004360b3194.jpg"/><Relationship Id="rId274" Type="http://schemas.openxmlformats.org/officeDocument/2006/relationships/image" Target="../media/klapan_sbrosnoy_predokhranitelnyy_navien_deluxe_deluxe_s_c_30002251a3195.jpg"/><Relationship Id="rId275" Type="http://schemas.openxmlformats.org/officeDocument/2006/relationships/image" Target="../media/remkomplekt_vpg_neva_5611_5514_3224_71_003196.jpg"/><Relationship Id="rId276" Type="http://schemas.openxmlformats.org/officeDocument/2006/relationships/image" Target="../media/datchik_kontrolya_tyagi_navien_atmo_13_24a_30002653a3197.jpg"/><Relationship Id="rId277" Type="http://schemas.openxmlformats.org/officeDocument/2006/relationships/image" Target="../media/datchik_temperatury_ov_navien_ga_11_35_30002612a3198.jpg"/><Relationship Id="rId278" Type="http://schemas.openxmlformats.org/officeDocument/2006/relationships/image" Target="../media/klapan_avtomaticheskiy_predokhranitelnyy_3bar_navien_ace_30002244a3199.jpg"/><Relationship Id="rId279" Type="http://schemas.openxmlformats.org/officeDocument/2006/relationships/image" Target="../media/ten_1_0_kvt_sukhoy3200.jpg"/><Relationship Id="rId280" Type="http://schemas.openxmlformats.org/officeDocument/2006/relationships/image" Target="../media/blok_upravleniya_vpg_neva_4508_4510m_4511_3272_16_0003201.jpg"/><Relationship Id="rId281" Type="http://schemas.openxmlformats.org/officeDocument/2006/relationships/image" Target="../media/020020000000009885_13202.jpg"/><Relationship Id="rId282" Type="http://schemas.openxmlformats.org/officeDocument/2006/relationships/image" Target="../media/datchik_temperatury_ov_navien_13_40k_30002644a3203.jpg"/><Relationship Id="rId283" Type="http://schemas.openxmlformats.org/officeDocument/2006/relationships/image" Target="../media/000170000005000500_13204.jpg"/><Relationship Id="rId284" Type="http://schemas.openxmlformats.org/officeDocument/2006/relationships/image" Target="../media/020020000000007160_13205.jpg"/><Relationship Id="rId285" Type="http://schemas.openxmlformats.org/officeDocument/2006/relationships/image" Target="../media/shnur_setevoy_dlya_vodonagrevatelya_s_uzo_230v3206.jpg"/><Relationship Id="rId286" Type="http://schemas.openxmlformats.org/officeDocument/2006/relationships/image" Target="../media/termopara_aogv_dani3207.jpg"/><Relationship Id="rId287" Type="http://schemas.openxmlformats.org/officeDocument/2006/relationships/image" Target="../media/020020000000090900_13208.jpg"/><Relationship Id="rId288" Type="http://schemas.openxmlformats.org/officeDocument/2006/relationships/image" Target="../media/020020000000005500_13209.jpg"/><Relationship Id="rId289" Type="http://schemas.openxmlformats.org/officeDocument/2006/relationships/image" Target="../media/020020000000005510_13210.jpg"/><Relationship Id="rId290" Type="http://schemas.openxmlformats.org/officeDocument/2006/relationships/image" Target="../media/020020000000006186_13211.jpg"/><Relationship Id="rId291" Type="http://schemas.openxmlformats.org/officeDocument/2006/relationships/image" Target="../media/teploobmennik_ksg_16_sit_mimaks3212.jpg"/><Relationship Id="rId292" Type="http://schemas.openxmlformats.org/officeDocument/2006/relationships/image" Target="../media/prokladka_adaptera_gvs_navien_20006852a3213.JPG"/><Relationship Id="rId293" Type="http://schemas.openxmlformats.org/officeDocument/2006/relationships/image" Target="../media/prokladka_adaptera_teploobmennika_navien_20006856a3214.jpg"/><Relationship Id="rId294" Type="http://schemas.openxmlformats.org/officeDocument/2006/relationships/image" Target="../media/prokladka_tsirkulyatsionnogo_nasosa_navien_20006859a3215.JPG"/><Relationship Id="rId295" Type="http://schemas.openxmlformats.org/officeDocument/2006/relationships/image" Target="../media/prokladka_predokhranitelnogo_klapana_navien_20007013a3216.JPG"/><Relationship Id="rId296" Type="http://schemas.openxmlformats.org/officeDocument/2006/relationships/image" Target="../media/salnik_tsirkulyatsionnogo_nasosa_navien_20018241v3217.JPG"/><Relationship Id="rId297" Type="http://schemas.openxmlformats.org/officeDocument/2006/relationships/image" Target="../media/prokladka_tsirkulyatsionnogo_nasosa_navien_20006996a3218.JPG"/><Relationship Id="rId298" Type="http://schemas.openxmlformats.org/officeDocument/2006/relationships/image" Target="../media/prokladka_trubki_podpitki_navien_20006963a3219.JPG"/><Relationship Id="rId299" Type="http://schemas.openxmlformats.org/officeDocument/2006/relationships/image" Target="../media/prokladka_gazovoy_trubki_navien_20006929a3220.JPG"/><Relationship Id="rId300" Type="http://schemas.openxmlformats.org/officeDocument/2006/relationships/image" Target="../media/prokladka_gidrouzla_navien_20007019a3221.JPG"/><Relationship Id="rId301" Type="http://schemas.openxmlformats.org/officeDocument/2006/relationships/image" Target="../media/prokladka_filtra_goryachey_vody_navien_20007016a3222.JPG"/><Relationship Id="rId302" Type="http://schemas.openxmlformats.org/officeDocument/2006/relationships/image" Target="../media/prokladka_vykhoda_teploobmennika_navien_20007004a3223.JPG"/><Relationship Id="rId303" Type="http://schemas.openxmlformats.org/officeDocument/2006/relationships/image" Target="../media/prokladka_turbiny_navien_20007018a3224.JPG"/><Relationship Id="rId304" Type="http://schemas.openxmlformats.org/officeDocument/2006/relationships/image" Target="../media/prokladka_adaptera_teploobmennika_navien_20006994a3225.JPG"/><Relationship Id="rId305" Type="http://schemas.openxmlformats.org/officeDocument/2006/relationships/image" Target="../media/koltso_uplotnitelnoe_navien_20006954a3226.JPG"/><Relationship Id="rId306" Type="http://schemas.openxmlformats.org/officeDocument/2006/relationships/image" Target="../media/koltso_uplotnitelnoe_navien_20028943a3227.JPG"/><Relationship Id="rId307" Type="http://schemas.openxmlformats.org/officeDocument/2006/relationships/image" Target="../media/koltso_uplotnitelnoe_navien_20024806a3228.JPG"/><Relationship Id="rId308" Type="http://schemas.openxmlformats.org/officeDocument/2006/relationships/image" Target="../media/prokladka_datchika_protoka_navien_20007006a3229.JPG"/><Relationship Id="rId309" Type="http://schemas.openxmlformats.org/officeDocument/2006/relationships/image" Target="../media/koltso_uplotnitelnoe_soedinitelnyy_vpusknoy_gazovyy_patrubok_navien_20006936a3230.JPG"/><Relationship Id="rId310" Type="http://schemas.openxmlformats.org/officeDocument/2006/relationships/image" Target="../media/koltso_uplotnitelnoe_adapter_vkhoda_gazovoy_trubki_navien_20006935a3231.JPG"/><Relationship Id="rId311" Type="http://schemas.openxmlformats.org/officeDocument/2006/relationships/image" Target="../media/koltso_uplotnitelnoe_navien_20011380a3232.jpg"/><Relationship Id="rId312" Type="http://schemas.openxmlformats.org/officeDocument/2006/relationships/image" Target="../media/koltso_uplotnitelnoe_navien_20021353a_analog_200070073233.JPG"/><Relationship Id="rId313" Type="http://schemas.openxmlformats.org/officeDocument/2006/relationships/image" Target="../media/koltso_uplotnitelnoe_navien_20007014a3234.JPG"/><Relationship Id="rId314" Type="http://schemas.openxmlformats.org/officeDocument/2006/relationships/image" Target="../media/prokladka_datchika_temperatury_gvs_navien_20007008a3235.JPG"/><Relationship Id="rId315" Type="http://schemas.openxmlformats.org/officeDocument/2006/relationships/image" Target="../media/koltso_uplotnitelnoe_navien_20007005a3236.JPG"/><Relationship Id="rId316" Type="http://schemas.openxmlformats.org/officeDocument/2006/relationships/image" Target="../media/gazovyy_klapan_navien_deluxe_30010310b3237.jpg"/><Relationship Id="rId317" Type="http://schemas.openxmlformats.org/officeDocument/2006/relationships/image" Target="../media/probka_dlya_nasosa_navien_30003551c3238.jpg"/><Relationship Id="rId318" Type="http://schemas.openxmlformats.org/officeDocument/2006/relationships/image" Target="../media/ten_0_8_kvt_sukhoy3239.jpg"/><Relationship Id="rId319" Type="http://schemas.openxmlformats.org/officeDocument/2006/relationships/image" Target="../media/ten_dlya_stiralnoy_mashiny_1700w_pryamoy_s_otverstiem_l_169_r_13_m_1203240.jpg"/><Relationship Id="rId320" Type="http://schemas.openxmlformats.org/officeDocument/2006/relationships/image" Target="../media/000170007190017513_13241.jpg"/><Relationship Id="rId321" Type="http://schemas.openxmlformats.org/officeDocument/2006/relationships/image" Target="../media/ten_dlya_stiralnoy_mashiny_2000w_pryamoy_s_otverstiem_l_202_r_12_m_1403242.jpg"/><Relationship Id="rId322" Type="http://schemas.openxmlformats.org/officeDocument/2006/relationships/image" Target="../media/000170007195018013_13243.jpg"/><Relationship Id="rId323" Type="http://schemas.openxmlformats.org/officeDocument/2006/relationships/image" Target="../media/teploobmennik_vpg_10_master_2016g3244.jpg"/><Relationship Id="rId324" Type="http://schemas.openxmlformats.org/officeDocument/2006/relationships/image" Target="../media/displey_lcd_vpg_10_master_2016g3245.jpg"/><Relationship Id="rId325" Type="http://schemas.openxmlformats.org/officeDocument/2006/relationships/image" Target="../media/kamera_sgoraniya_navien_30k_30003352g3246.jpg"/><Relationship Id="rId326" Type="http://schemas.openxmlformats.org/officeDocument/2006/relationships/image" Target="../media/000170007175015409_13247.jpg"/><Relationship Id="rId327" Type="http://schemas.openxmlformats.org/officeDocument/2006/relationships/image" Target="../media/ten_dlya_stiralnoy_mashiny_1900w_pryamoy_s_datchikom_l_185_r_12_m_1313248.jpg"/><Relationship Id="rId328" Type="http://schemas.openxmlformats.org/officeDocument/2006/relationships/image" Target="../media/020040000000030430_13249.jpg"/><Relationship Id="rId329" Type="http://schemas.openxmlformats.org/officeDocument/2006/relationships/image" Target="../media/elektrody_rozzhiga_ga_11_17_navien_20010582a3250.jpg"/><Relationship Id="rId330" Type="http://schemas.openxmlformats.org/officeDocument/2006/relationships/image" Target="../media/kollektor_dymovykh_gazov_navien_13_24k_30003863a3251.jpg"/><Relationship Id="rId331" Type="http://schemas.openxmlformats.org/officeDocument/2006/relationships/image" Target="../media/turbulizator_aogv_siberia_rostov_2210_0123252.jpg"/><Relationship Id="rId332" Type="http://schemas.openxmlformats.org/officeDocument/2006/relationships/image" Target="../media/020020000000090310_13253.jpg"/><Relationship Id="rId333" Type="http://schemas.openxmlformats.org/officeDocument/2006/relationships/image" Target="../media/020040000000030807_13254.jpg"/><Relationship Id="rId334" Type="http://schemas.openxmlformats.org/officeDocument/2006/relationships/image" Target="../media/blok_upravleniya_vpg_neva_4510m_4511_dhs_16b5_do_04_2017g3255.jpg"/><Relationship Id="rId335" Type="http://schemas.openxmlformats.org/officeDocument/2006/relationships/image" Target="../media/kamera_sgoraniya_navien_35_40_deluxe_ase_30003354g3256.jpg"/><Relationship Id="rId336" Type="http://schemas.openxmlformats.org/officeDocument/2006/relationships/image" Target="../media/selektor_vpg_neva_4511_zip_4211_02_200_01_s_2017g3257.jpg"/><Relationship Id="rId337" Type="http://schemas.openxmlformats.org/officeDocument/2006/relationships/image" Target="../media/020040000000030966_13258.jpg"/><Relationship Id="rId338" Type="http://schemas.openxmlformats.org/officeDocument/2006/relationships/image" Target="../media/blok_upravleniya_navien_30_40k_plata_30013767d_e3259.jpg"/><Relationship Id="rId339" Type="http://schemas.openxmlformats.org/officeDocument/2006/relationships/image" Target="../media/020040000000030832_13260.jpg"/><Relationship Id="rId340" Type="http://schemas.openxmlformats.org/officeDocument/2006/relationships/image" Target="../media/mikrovyklyuchatel_vpg_neva_4510m_3227_02_330_013261.jpg"/><Relationship Id="rId341" Type="http://schemas.openxmlformats.org/officeDocument/2006/relationships/image" Target="../media/trubka_zapalnika_sit_m10_l300_d4_med3262.jpg"/><Relationship Id="rId342" Type="http://schemas.openxmlformats.org/officeDocument/2006/relationships/image" Target="../media/trubka_zapalnika_zhmz_kov_sg_43_50_ekonom_378010_s_2013g3263.jpg"/><Relationship Id="rId343" Type="http://schemas.openxmlformats.org/officeDocument/2006/relationships/image" Target="../media/000170000005000310_13264.jpg"/><Relationship Id="rId344" Type="http://schemas.openxmlformats.org/officeDocument/2006/relationships/image" Target="../media/ten_vls_1_5_kvt_m5_d75_1253265.jpg"/><Relationship Id="rId345" Type="http://schemas.openxmlformats.org/officeDocument/2006/relationships/image" Target="../media/020040000000040001_13266.jpg"/><Relationship Id="rId346" Type="http://schemas.openxmlformats.org/officeDocument/2006/relationships/image" Target="../media/020040000000040005_13267.jpg"/><Relationship Id="rId347" Type="http://schemas.openxmlformats.org/officeDocument/2006/relationships/image" Target="../media/020040000000040003_13268.jpg"/><Relationship Id="rId348" Type="http://schemas.openxmlformats.org/officeDocument/2006/relationships/image" Target="../media/blok_upravleniya_vpg_10e_ladogaz3269.jpg"/><Relationship Id="rId349" Type="http://schemas.openxmlformats.org/officeDocument/2006/relationships/image" Target="../media/blok_upravleniya_vpg_11pl_ladogaz3270.jpg"/><Relationship Id="rId350" Type="http://schemas.openxmlformats.org/officeDocument/2006/relationships/image" Target="../media/020020000000090915_13271.jpg"/><Relationship Id="rId351" Type="http://schemas.openxmlformats.org/officeDocument/2006/relationships/image" Target="../media/elektrody_rozzhiga_ga_30_35_navien_20010581a3272.jpg"/><Relationship Id="rId352" Type="http://schemas.openxmlformats.org/officeDocument/2006/relationships/image" Target="../media/elektrody_rozzhiga_ga_20_23_navien_20010584a3273.jpg"/><Relationship Id="rId353" Type="http://schemas.openxmlformats.org/officeDocument/2006/relationships/image" Target="../media/020020000000090370_13274.jpg"/><Relationship Id="rId354" Type="http://schemas.openxmlformats.org/officeDocument/2006/relationships/image" Target="../media/020020000000090916_13275.jpg"/><Relationship Id="rId355" Type="http://schemas.openxmlformats.org/officeDocument/2006/relationships/image" Target="../media/blok_upravleniya_navien_13_24k_plata_30013766f3276.jpg"/><Relationship Id="rId356" Type="http://schemas.openxmlformats.org/officeDocument/2006/relationships/image" Target="../media/membrana_vpg_8a_10e_ladogaz3277.jpg"/><Relationship Id="rId357" Type="http://schemas.openxmlformats.org/officeDocument/2006/relationships/image" Target="../media/020040000000040105_13278.jpg"/><Relationship Id="rId358" Type="http://schemas.openxmlformats.org/officeDocument/2006/relationships/image" Target="../media/020040000000040150_13279.jpg"/><Relationship Id="rId359" Type="http://schemas.openxmlformats.org/officeDocument/2006/relationships/image" Target="../media/020040000000040155_13280.jpg"/><Relationship Id="rId360" Type="http://schemas.openxmlformats.org/officeDocument/2006/relationships/image" Target="../media/020020000000090265_13281.jpg"/><Relationship Id="rId361" Type="http://schemas.openxmlformats.org/officeDocument/2006/relationships/image" Target="../media/020020000000000595_13282.jpg"/><Relationship Id="rId362" Type="http://schemas.openxmlformats.org/officeDocument/2006/relationships/image" Target="../media/020040000000040300_13283.jpg"/><Relationship Id="rId363" Type="http://schemas.openxmlformats.org/officeDocument/2006/relationships/image" Target="../media/000180000000000096_13284.jpg"/><Relationship Id="rId364" Type="http://schemas.openxmlformats.org/officeDocument/2006/relationships/image" Target="../media/020020000000005490_13285.jpg"/><Relationship Id="rId365" Type="http://schemas.openxmlformats.org/officeDocument/2006/relationships/image" Target="../media/trubka_zapalnika_10sm_gazopodvod_mimaks3286.jpg"/><Relationship Id="rId366" Type="http://schemas.openxmlformats.org/officeDocument/2006/relationships/image" Target="../media/020020000000005530_13287.jpg"/><Relationship Id="rId367" Type="http://schemas.openxmlformats.org/officeDocument/2006/relationships/image" Target="../media/kryshka_kamery_sgoraniya_navien_deluxe_13_24k_30003338d3288.jpg"/><Relationship Id="rId368" Type="http://schemas.openxmlformats.org/officeDocument/2006/relationships/image" Target="../media/blok_upravleniya_navien_ga_17_35_plata_30000161s3289.jpg"/><Relationship Id="rId369" Type="http://schemas.openxmlformats.org/officeDocument/2006/relationships/image" Target="../media/020020000000090917_13290.jpg"/><Relationship Id="rId370" Type="http://schemas.openxmlformats.org/officeDocument/2006/relationships/image" Target="../media/020020000000090914_13291.jpg"/><Relationship Id="rId371" Type="http://schemas.openxmlformats.org/officeDocument/2006/relationships/image" Target="../media/020020000000090880_13292.jpg"/><Relationship Id="rId372" Type="http://schemas.openxmlformats.org/officeDocument/2006/relationships/image" Target="../media/patrubok_adapter_gvs_navien_30003673e3293.jpg"/><Relationship Id="rId373" Type="http://schemas.openxmlformats.org/officeDocument/2006/relationships/image" Target="../media/020020000000090868_13294.jpg"/><Relationship Id="rId374" Type="http://schemas.openxmlformats.org/officeDocument/2006/relationships/image" Target="../media/000170007195016913_13295.jpg"/><Relationship Id="rId375" Type="http://schemas.openxmlformats.org/officeDocument/2006/relationships/image" Target="../media/teploobmennik_neva_4510m_1102_07_0003296.jpg"/><Relationship Id="rId376" Type="http://schemas.openxmlformats.org/officeDocument/2006/relationships/image" Target="../media/teploobmennik_neva_4513m_5514_1103_07_000_3219_08_003297.jpg"/><Relationship Id="rId377" Type="http://schemas.openxmlformats.org/officeDocument/2006/relationships/image" Target="../media/datchik_temperatury_vody_vpg_ladogaz3298.jpg"/><Relationship Id="rId378" Type="http://schemas.openxmlformats.org/officeDocument/2006/relationships/image" Target="../media/020040000000040004_13299.jpg"/><Relationship Id="rId379" Type="http://schemas.openxmlformats.org/officeDocument/2006/relationships/image" Target="../media/termopara_700_mm_arbat_m83300.jpg"/><Relationship Id="rId380" Type="http://schemas.openxmlformats.org/officeDocument/2006/relationships/image" Target="../media/020040000000040070_13301.jpg"/><Relationship Id="rId381" Type="http://schemas.openxmlformats.org/officeDocument/2006/relationships/image" Target="../media/020040000000040040_13302.jpg"/><Relationship Id="rId382" Type="http://schemas.openxmlformats.org/officeDocument/2006/relationships/image" Target="../media/020040000000040045_13303.jpg"/><Relationship Id="rId383" Type="http://schemas.openxmlformats.org/officeDocument/2006/relationships/image" Target="../media/020040000000040130_13304.jpg"/><Relationship Id="rId384" Type="http://schemas.openxmlformats.org/officeDocument/2006/relationships/image" Target="../media/klapan_elektromagnitnyy_vpg_ladogaz3305.jpg"/><Relationship Id="rId385" Type="http://schemas.openxmlformats.org/officeDocument/2006/relationships/image" Target="../media/ten_dlya_elektroplity_1200_vt3306.png"/><Relationship Id="rId386" Type="http://schemas.openxmlformats.org/officeDocument/2006/relationships/image" Target="../media/000170000003915400_13307.jpg"/><Relationship Id="rId387" Type="http://schemas.openxmlformats.org/officeDocument/2006/relationships/image" Target="../media/020020000200050000_13308.jpg"/><Relationship Id="rId388" Type="http://schemas.openxmlformats.org/officeDocument/2006/relationships/image" Target="../media/020020000000090470_13309.jpg"/><Relationship Id="rId389" Type="http://schemas.openxmlformats.org/officeDocument/2006/relationships/image" Target="../media/020040000000040160_13310.jpg"/><Relationship Id="rId390" Type="http://schemas.openxmlformats.org/officeDocument/2006/relationships/image" Target="../media/020020000000090960_13311.jpg"/><Relationship Id="rId391" Type="http://schemas.openxmlformats.org/officeDocument/2006/relationships/image" Target="../media/020020000000090970_13312.webp"/><Relationship Id="rId392" Type="http://schemas.openxmlformats.org/officeDocument/2006/relationships/image" Target="../media/020040000000040002_13313.jpg"/><Relationship Id="rId393" Type="http://schemas.openxmlformats.org/officeDocument/2006/relationships/image" Target="../media/trubka_zapalnika_sit_m10_l300_d6_med3314.jpg"/><Relationship Id="rId394" Type="http://schemas.openxmlformats.org/officeDocument/2006/relationships/image" Target="../media/membrana_vpg_neva_4513m_baltgaz_comfort_4211_02_3313315.jpg"/><Relationship Id="rId395" Type="http://schemas.openxmlformats.org/officeDocument/2006/relationships/image" Target="../media/020020000000090878_13316.jpg"/><Relationship Id="rId396" Type="http://schemas.openxmlformats.org/officeDocument/2006/relationships/image" Target="../media/020020000000090875_13317.jpg"/><Relationship Id="rId397" Type="http://schemas.openxmlformats.org/officeDocument/2006/relationships/image" Target="../media/020020000000006122_13318.jpg"/><Relationship Id="rId398" Type="http://schemas.openxmlformats.org/officeDocument/2006/relationships/image" Target="../media/020020000000090395_13319.jpg"/><Relationship Id="rId399" Type="http://schemas.openxmlformats.org/officeDocument/2006/relationships/image" Target="../media/gazovyy_klapan_ga_11_35k_gst_35_40k_30007717a3320.jpg"/><Relationship Id="rId400" Type="http://schemas.openxmlformats.org/officeDocument/2006/relationships/image" Target="../media/020020000000090451_13321.jpg"/><Relationship Id="rId401" Type="http://schemas.openxmlformats.org/officeDocument/2006/relationships/image" Target="../media/020020000000090921_13322.jpg"/><Relationship Id="rId402" Type="http://schemas.openxmlformats.org/officeDocument/2006/relationships/image" Target="../media/020020000000001780_13323.jpg"/><Relationship Id="rId403" Type="http://schemas.openxmlformats.org/officeDocument/2006/relationships/image" Target="../media/020020000000001785_13324.jpg"/><Relationship Id="rId404" Type="http://schemas.openxmlformats.org/officeDocument/2006/relationships/image" Target="../media/gorelka_pilotnaya_keber3325.jpg"/><Relationship Id="rId405" Type="http://schemas.openxmlformats.org/officeDocument/2006/relationships/image" Target="../media/020020000000200000_13326.jpg"/><Relationship Id="rId406" Type="http://schemas.openxmlformats.org/officeDocument/2006/relationships/image" Target="../media/020020000000200100_13327.jpg"/><Relationship Id="rId407" Type="http://schemas.openxmlformats.org/officeDocument/2006/relationships/image" Target="../media/020020000000200200_13328.jpg"/><Relationship Id="rId408" Type="http://schemas.openxmlformats.org/officeDocument/2006/relationships/image" Target="../media/020020000000090302_13329.jpg"/><Relationship Id="rId409" Type="http://schemas.openxmlformats.org/officeDocument/2006/relationships/image" Target="../media/020020000000090413_13330.jpg"/><Relationship Id="rId410" Type="http://schemas.openxmlformats.org/officeDocument/2006/relationships/image" Target="../media/020020000000090340_13331.jpg"/><Relationship Id="rId411" Type="http://schemas.openxmlformats.org/officeDocument/2006/relationships/image" Target="../media/020020000000090342_13332.jpg"/><Relationship Id="rId412" Type="http://schemas.openxmlformats.org/officeDocument/2006/relationships/image" Target="../media/gorelka_pilotnaya_plamya3333.jpg"/><Relationship Id="rId413" Type="http://schemas.openxmlformats.org/officeDocument/2006/relationships/image" Target="../media/vodyanoy_blok_vpg_astra_anodirovannyy3334.jpg"/><Relationship Id="rId414" Type="http://schemas.openxmlformats.org/officeDocument/2006/relationships/image" Target="../media/020020000000049160_13335.jpg"/><Relationship Id="rId415" Type="http://schemas.openxmlformats.org/officeDocument/2006/relationships/image" Target="../media/020020000000090922_13336.jpg"/><Relationship Id="rId416" Type="http://schemas.openxmlformats.org/officeDocument/2006/relationships/image" Target="../media/020020000200050002_13337.jpg"/><Relationship Id="rId417" Type="http://schemas.openxmlformats.org/officeDocument/2006/relationships/image" Target="../media/020040000000040110_13338.jpg"/><Relationship Id="rId418" Type="http://schemas.openxmlformats.org/officeDocument/2006/relationships/image" Target="../media/gazovodyanoy_uzel_vpg_11pl_01_vpg_11ed_01_ladogaz3339.jpg"/><Relationship Id="rId419" Type="http://schemas.openxmlformats.org/officeDocument/2006/relationships/image" Target="../media/termopara_400_mm_sit_m9_a13340.jpg"/><Relationship Id="rId420" Type="http://schemas.openxmlformats.org/officeDocument/2006/relationships/image" Target="../media/020040000000030801_13341.jpg"/><Relationship Id="rId421" Type="http://schemas.openxmlformats.org/officeDocument/2006/relationships/image" Target="../media/ten_rf92_dvoynoy_2_0kvt_0_7_1_3kvt_m6_rzl_d_92mm_10941g103342.jpg"/><Relationship Id="rId422" Type="http://schemas.openxmlformats.org/officeDocument/2006/relationships/image" Target="../media/prokladka_dlya_tena_rf87_661483343.jpg"/><Relationship Id="rId423" Type="http://schemas.openxmlformats.org/officeDocument/2006/relationships/image" Target="../media/ten_dlya_stiralnoy_mashiny_850w_s_datchikom_u_obraznyy_l_150_r_153344.jpg"/><Relationship Id="rId424" Type="http://schemas.openxmlformats.org/officeDocument/2006/relationships/image" Target="../media/kryshka_kamery_sgoraniya_navien_ace_30k_30003339d3345.jpg"/><Relationship Id="rId425" Type="http://schemas.openxmlformats.org/officeDocument/2006/relationships/image" Target="../media/kryshka_kamery_sgoraniya_navien_35_40k_30003349s3346.jpg"/><Relationship Id="rId426" Type="http://schemas.openxmlformats.org/officeDocument/2006/relationships/image" Target="../media/datchik_urovnya_ov_navien_ga_11_35_gst_35_60_30002661a3347.jpg"/><Relationship Id="rId427" Type="http://schemas.openxmlformats.org/officeDocument/2006/relationships/image" Target="../media/gazovyy_klapan_arbat3348.jpg"/><Relationship Id="rId428" Type="http://schemas.openxmlformats.org/officeDocument/2006/relationships/image" Target="../media/gazovyy_klapan_tgv_3073349.jpg"/><Relationship Id="rId429" Type="http://schemas.openxmlformats.org/officeDocument/2006/relationships/image" Target="../media/gazovyy_klapan_eurosit_0_6303350.png"/><Relationship Id="rId430" Type="http://schemas.openxmlformats.org/officeDocument/2006/relationships/image" Target="../media/gazovyy_klapan_minisit_0_7103351.jpg"/><Relationship Id="rId431" Type="http://schemas.openxmlformats.org/officeDocument/2006/relationships/image" Target="../media/gazovyy_klapan_sit_820_nova3352.jpg"/><Relationship Id="rId432" Type="http://schemas.openxmlformats.org/officeDocument/2006/relationships/image" Target="../media/020040000000002055_13353.jpg"/><Relationship Id="rId433" Type="http://schemas.openxmlformats.org/officeDocument/2006/relationships/image" Target="../media/020040000000040111_13354.jpg"/><Relationship Id="rId434" Type="http://schemas.openxmlformats.org/officeDocument/2006/relationships/image" Target="../media/020020000000090446_13355.jpg"/><Relationship Id="rId435" Type="http://schemas.openxmlformats.org/officeDocument/2006/relationships/image" Target="../media/020020000000090520_13356.jpg"/><Relationship Id="rId436" Type="http://schemas.openxmlformats.org/officeDocument/2006/relationships/image" Target="../media/kabel_soedinitelnyy_termopreryvatelya_i_datchika_tyagi_l1000mm3357.jpg"/><Relationship Id="rId437" Type="http://schemas.openxmlformats.org/officeDocument/2006/relationships/image" Target="../media/020020000000090850_13358.jpg"/><Relationship Id="rId438" Type="http://schemas.openxmlformats.org/officeDocument/2006/relationships/image" Target="../media/020020000200050003_13359.jpg"/><Relationship Id="rId439" Type="http://schemas.openxmlformats.org/officeDocument/2006/relationships/image" Target="../media/020020000000013050_13360.jpg"/><Relationship Id="rId440" Type="http://schemas.openxmlformats.org/officeDocument/2006/relationships/image" Target="../media/020020000000090253_13361.jpg"/><Relationship Id="rId441" Type="http://schemas.openxmlformats.org/officeDocument/2006/relationships/image" Target="../media/termometr_nakladnoy_s_pruzhinoy_tim_y_63a_1203362.jpg"/><Relationship Id="rId442" Type="http://schemas.openxmlformats.org/officeDocument/2006/relationships/image" Target="../media/termopara_375014_aogv_17_23_komfort_s_2010_g_zhmz3363.jpg"/><Relationship Id="rId443" Type="http://schemas.openxmlformats.org/officeDocument/2006/relationships/image" Target="../media/termopara_aogv_80_rostov_na_donu3364.jpg"/><Relationship Id="rId444" Type="http://schemas.openxmlformats.org/officeDocument/2006/relationships/image" Target="../media/020020000000200050_13365.jpg"/><Relationship Id="rId445" Type="http://schemas.openxmlformats.org/officeDocument/2006/relationships/image" Target="../media/020020000000090550_13366.jpg"/><Relationship Id="rId446" Type="http://schemas.openxmlformats.org/officeDocument/2006/relationships/image" Target="../media/020020000000009203_13367.jpg"/><Relationship Id="rId447" Type="http://schemas.openxmlformats.org/officeDocument/2006/relationships/image" Target="../media/020020000000090845_13368.jpg"/><Relationship Id="rId448" Type="http://schemas.openxmlformats.org/officeDocument/2006/relationships/image" Target="../media/kran_3_kh_khodovoy_navien_deluxe_s_s_30020637a3369.jpg"/><Relationship Id="rId449" Type="http://schemas.openxmlformats.org/officeDocument/2006/relationships/image" Target="../media/020020000000090615_13370.jpg"/><Relationship Id="rId450" Type="http://schemas.openxmlformats.org/officeDocument/2006/relationships/image" Target="../media/020020000000090298_13371.jpg"/><Relationship Id="rId451" Type="http://schemas.openxmlformats.org/officeDocument/2006/relationships/image" Target="../media/termometr_bimetallicheskiy_l50_tbp_63_120_s_osevoy3372.jpg"/><Relationship Id="rId452" Type="http://schemas.openxmlformats.org/officeDocument/2006/relationships/image" Target="../media/020020000000050005_13373.jpg"/><Relationship Id="rId453" Type="http://schemas.openxmlformats.org/officeDocument/2006/relationships/image" Target="../media/020020000000050010_13374.jpg"/><Relationship Id="rId454" Type="http://schemas.openxmlformats.org/officeDocument/2006/relationships/image" Target="../media/020020000000049300_13375.jpg"/><Relationship Id="rId455" Type="http://schemas.openxmlformats.org/officeDocument/2006/relationships/image" Target="../media/020020000000050365_13376.jpg"/><Relationship Id="rId456" Type="http://schemas.openxmlformats.org/officeDocument/2006/relationships/image" Target="../media/000180000000000098_13377.jpg"/><Relationship Id="rId457" Type="http://schemas.openxmlformats.org/officeDocument/2006/relationships/image" Target="../media/020020000000049180_13378.jpg"/><Relationship Id="rId458" Type="http://schemas.openxmlformats.org/officeDocument/2006/relationships/image" Target="../media/teploobmennik_bitermicheskiy_nike_eolo_star_24_3e_immergas_1_0243983379.jpg"/><Relationship Id="rId459" Type="http://schemas.openxmlformats.org/officeDocument/2006/relationships/image" Target="../media/teploobmennik_pervichnyy_nike_eolo_mythos_79_lameley_immergas_1_0354423380.jpg"/><Relationship Id="rId460" Type="http://schemas.openxmlformats.org/officeDocument/2006/relationships/image" Target="../media/teploobmennik_gvs_12_plastin_nike_eolo_mythos_immergas_1_0286573381.jpg"/><Relationship Id="rId461" Type="http://schemas.openxmlformats.org/officeDocument/2006/relationships/image" Target="../media/020020000000049800_13382.jpg"/><Relationship Id="rId462" Type="http://schemas.openxmlformats.org/officeDocument/2006/relationships/image" Target="../media/020020000000090975_13383.jpg"/><Relationship Id="rId463" Type="http://schemas.openxmlformats.org/officeDocument/2006/relationships/image" Target="../media/000170000005000600_13384.jpg"/><Relationship Id="rId464" Type="http://schemas.openxmlformats.org/officeDocument/2006/relationships/image" Target="../media/trubka_zapalnika_sit_m10_l600_d6_med3385.jpg"/><Relationship Id="rId465" Type="http://schemas.openxmlformats.org/officeDocument/2006/relationships/image" Target="../media/trubka_zapalnika_sit_m10_l600_d6_alyuminiy3386.jpg"/><Relationship Id="rId466" Type="http://schemas.openxmlformats.org/officeDocument/2006/relationships/image" Target="../media/vynosnoy_pult_upravleniya_nr_40d_navien3387.jpg"/><Relationship Id="rId467" Type="http://schemas.openxmlformats.org/officeDocument/2006/relationships/image" Target="../media/ventilyator_immergas_1_0187783388.jpg"/><Relationship Id="rId468" Type="http://schemas.openxmlformats.org/officeDocument/2006/relationships/image" Target="../media/020020000000090380_13389.jpg"/><Relationship Id="rId469" Type="http://schemas.openxmlformats.org/officeDocument/2006/relationships/image" Target="../media/teploobmennik_pervichnyy_navien_deluxe_s_c_one_13_24k_30020388a3390.jpg"/><Relationship Id="rId470" Type="http://schemas.openxmlformats.org/officeDocument/2006/relationships/image" Target="../media/020020000000090113_13391.jpg"/><Relationship Id="rId471" Type="http://schemas.openxmlformats.org/officeDocument/2006/relationships/image" Target="../media/020020000000090115_13392.jpg"/><Relationship Id="rId472" Type="http://schemas.openxmlformats.org/officeDocument/2006/relationships/image" Target="../media/020020000000100000_13393.jpg"/><Relationship Id="rId473" Type="http://schemas.openxmlformats.org/officeDocument/2006/relationships/image" Target="../media/blok_upravleniya_vpg_11ed_01_11pl_01_14fd_ladogaz3394.jpg"/><Relationship Id="rId474" Type="http://schemas.openxmlformats.org/officeDocument/2006/relationships/image" Target="../media/020020000000100010_13395.jpg"/><Relationship Id="rId475" Type="http://schemas.openxmlformats.org/officeDocument/2006/relationships/image" Target="../media/020020000000090126_13396.jpg"/><Relationship Id="rId476" Type="http://schemas.openxmlformats.org/officeDocument/2006/relationships/image" Target="../media/teploobmennik_pervichnyy_navien_deluxe_s_c_35k_30020498a3397.jpg"/><Relationship Id="rId477" Type="http://schemas.openxmlformats.org/officeDocument/2006/relationships/image" Target="../media/020020000000090129_13398.jpg"/><Relationship Id="rId478" Type="http://schemas.openxmlformats.org/officeDocument/2006/relationships/image" Target="../media/020020000000090188_13399.jpg"/><Relationship Id="rId479" Type="http://schemas.openxmlformats.org/officeDocument/2006/relationships/image" Target="../media/020020000000090198_13400.jpg"/><Relationship Id="rId480" Type="http://schemas.openxmlformats.org/officeDocument/2006/relationships/image" Target="../media/020020000000090355_13401.jpg"/><Relationship Id="rId481" Type="http://schemas.openxmlformats.org/officeDocument/2006/relationships/image" Target="../media/020020000000090315_13402.jpg"/><Relationship Id="rId482" Type="http://schemas.openxmlformats.org/officeDocument/2006/relationships/image" Target="../media/020020000000090521_13403.jpg"/><Relationship Id="rId483" Type="http://schemas.openxmlformats.org/officeDocument/2006/relationships/image" Target="../media/020020000000090454_13404.jpg"/><Relationship Id="rId484" Type="http://schemas.openxmlformats.org/officeDocument/2006/relationships/image" Target="../media/020020000000090820_13405.jpg"/><Relationship Id="rId485" Type="http://schemas.openxmlformats.org/officeDocument/2006/relationships/image" Target="../media/020020000000090825_13406.jpg"/><Relationship Id="rId486" Type="http://schemas.openxmlformats.org/officeDocument/2006/relationships/image" Target="../media/020020000000090690_13407.jpg"/><Relationship Id="rId487" Type="http://schemas.openxmlformats.org/officeDocument/2006/relationships/image" Target="../media/020020000000090106_13408.png"/><Relationship Id="rId488" Type="http://schemas.openxmlformats.org/officeDocument/2006/relationships/image" Target="../media/020020000000090940_13409.jpg"/><Relationship Id="rId489" Type="http://schemas.openxmlformats.org/officeDocument/2006/relationships/image" Target="../media/020020000300010001_13410.jpg"/><Relationship Id="rId490" Type="http://schemas.openxmlformats.org/officeDocument/2006/relationships/image" Target="../media/020020000300010010_13411.jpg"/><Relationship Id="rId491" Type="http://schemas.openxmlformats.org/officeDocument/2006/relationships/image" Target="../media/020020000300020050_13412.jpg"/><Relationship Id="rId492" Type="http://schemas.openxmlformats.org/officeDocument/2006/relationships/image" Target="../media/020020000300030005_13413.jpg"/><Relationship Id="rId493" Type="http://schemas.openxmlformats.org/officeDocument/2006/relationships/image" Target="../media/020020000300030020_13414.jpg"/><Relationship Id="rId494" Type="http://schemas.openxmlformats.org/officeDocument/2006/relationships/image" Target="../media/020020000300030030_13415.jpg"/><Relationship Id="rId495" Type="http://schemas.openxmlformats.org/officeDocument/2006/relationships/image" Target="../media/020020000300030040_13416.jpg"/><Relationship Id="rId496" Type="http://schemas.openxmlformats.org/officeDocument/2006/relationships/image" Target="../media/020020000300030050_13417.jpg"/><Relationship Id="rId497" Type="http://schemas.openxmlformats.org/officeDocument/2006/relationships/image" Target="../media/020020000300050001_13418.jpg"/><Relationship Id="rId498" Type="http://schemas.openxmlformats.org/officeDocument/2006/relationships/image" Target="../media/020020000300060000_13419.jpg"/><Relationship Id="rId499" Type="http://schemas.openxmlformats.org/officeDocument/2006/relationships/image" Target="../media/020020000300030060_13420.jpg"/><Relationship Id="rId500" Type="http://schemas.openxmlformats.org/officeDocument/2006/relationships/image" Target="../media/020020000300100000_13421.jpg"/><Relationship Id="rId501" Type="http://schemas.openxmlformats.org/officeDocument/2006/relationships/image" Target="../media/020020000300080001_13422.jpg"/><Relationship Id="rId502" Type="http://schemas.openxmlformats.org/officeDocument/2006/relationships/image" Target="../media/020020000300090001_13423.jpg"/><Relationship Id="rId503" Type="http://schemas.openxmlformats.org/officeDocument/2006/relationships/image" Target="../media/020020000300070000_13424.jpg"/><Relationship Id="rId504" Type="http://schemas.openxmlformats.org/officeDocument/2006/relationships/image" Target="../media/020020000300110000_13425.jpg"/><Relationship Id="rId505" Type="http://schemas.openxmlformats.org/officeDocument/2006/relationships/image" Target="../media/020020000300120000_13426.jpg"/><Relationship Id="rId506" Type="http://schemas.openxmlformats.org/officeDocument/2006/relationships/image" Target="../media/020020000300130000_13427.jpg"/><Relationship Id="rId507" Type="http://schemas.openxmlformats.org/officeDocument/2006/relationships/image" Target="../media/020020000300140000_13428.jpg"/><Relationship Id="rId508" Type="http://schemas.openxmlformats.org/officeDocument/2006/relationships/image" Target="../media/020020000000006095_13429.jpg"/><Relationship Id="rId509" Type="http://schemas.openxmlformats.org/officeDocument/2006/relationships/image" Target="../media/020020000000049152_13430.jpg"/><Relationship Id="rId510" Type="http://schemas.openxmlformats.org/officeDocument/2006/relationships/image" Target="../media/teploobmennik_pervichnyy_navien_deluxe_13_24k_30012859c3431.jpg"/><Relationship Id="rId511" Type="http://schemas.openxmlformats.org/officeDocument/2006/relationships/image" Target="../media/020020000000090867_13432.jpg"/><Relationship Id="rId512" Type="http://schemas.openxmlformats.org/officeDocument/2006/relationships/image" Target="../media/remkomplekt_neva_4511_4513m_s_2017g3433.jpg"/><Relationship Id="rId513" Type="http://schemas.openxmlformats.org/officeDocument/2006/relationships/image" Target="../media/020020000000050510_13434.jpg"/><Relationship Id="rId514" Type="http://schemas.openxmlformats.org/officeDocument/2006/relationships/image" Target="../media/teploobmennik_neva_4510_114510_07_000_01_s_2020g3435.jpg"/><Relationship Id="rId515" Type="http://schemas.openxmlformats.org/officeDocument/2006/relationships/image" Target="../media/blok_upravleniya_vpg_neva_4511e_5514_5514e_114511_16_0003436.png"/><Relationship Id="rId516" Type="http://schemas.openxmlformats.org/officeDocument/2006/relationships/image" Target="../media/020040000000030870_13437.jpg"/><Relationship Id="rId517" Type="http://schemas.openxmlformats.org/officeDocument/2006/relationships/image" Target="../media/020020000000069010_13438.jpg"/><Relationship Id="rId518" Type="http://schemas.openxmlformats.org/officeDocument/2006/relationships/image" Target="../media/teploobmennik_gvs_deluxe_c_30k_navien_30013798a3439.jpg"/><Relationship Id="rId519" Type="http://schemas.openxmlformats.org/officeDocument/2006/relationships/image" Target="../media/020020000000090114_13440.jpg"/><Relationship Id="rId520" Type="http://schemas.openxmlformats.org/officeDocument/2006/relationships/image" Target="../media/020020000000090206_13441.jpg"/><Relationship Id="rId521" Type="http://schemas.openxmlformats.org/officeDocument/2006/relationships/image" Target="../media/020020000000090261_13442.jpg"/><Relationship Id="rId522" Type="http://schemas.openxmlformats.org/officeDocument/2006/relationships/image" Target="../media/020020000000090316_13443.jpg"/><Relationship Id="rId523" Type="http://schemas.openxmlformats.org/officeDocument/2006/relationships/image" Target="../media/020020000000090415_13444.png"/><Relationship Id="rId524" Type="http://schemas.openxmlformats.org/officeDocument/2006/relationships/image" Target="../media/020020000000090416_13445.jpg"/><Relationship Id="rId525" Type="http://schemas.openxmlformats.org/officeDocument/2006/relationships/image" Target="../media/020020000000090414_13446.jpg"/><Relationship Id="rId526" Type="http://schemas.openxmlformats.org/officeDocument/2006/relationships/image" Target="../media/020020000000090443_13447.jpg"/><Relationship Id="rId527" Type="http://schemas.openxmlformats.org/officeDocument/2006/relationships/image" Target="../media/membrana_vpg_neva_4510_4511_3227_02_278_01_s_2015g_d72mm3448.jpg"/><Relationship Id="rId528" Type="http://schemas.openxmlformats.org/officeDocument/2006/relationships/image" Target="../media/020020000000090482_13449.jpg"/><Relationship Id="rId529" Type="http://schemas.openxmlformats.org/officeDocument/2006/relationships/image" Target="../media/020020000000006110_13450.jpg"/><Relationship Id="rId530" Type="http://schemas.openxmlformats.org/officeDocument/2006/relationships/image" Target="../media/termopara_q335c1023b_honeywell_94054_zhmz3451.jpg"/><Relationship Id="rId531" Type="http://schemas.openxmlformats.org/officeDocument/2006/relationships/image" Target="../media/020020000000090459_13452.jpg"/><Relationship Id="rId532" Type="http://schemas.openxmlformats.org/officeDocument/2006/relationships/image" Target="../media/020020000000090194_13453.jpg"/><Relationship Id="rId533" Type="http://schemas.openxmlformats.org/officeDocument/2006/relationships/image" Target="../media/ten_dlya_sauny_harvia_vega_1500vt_224_zsb3454.jpg"/><Relationship Id="rId534" Type="http://schemas.openxmlformats.org/officeDocument/2006/relationships/image" Target="../media/020040000000030831_13455.jpg"/><Relationship Id="rId535" Type="http://schemas.openxmlformats.org/officeDocument/2006/relationships/image" Target="../media/020020000300040002_13456.jpg"/><Relationship Id="rId536" Type="http://schemas.openxmlformats.org/officeDocument/2006/relationships/image" Target="../media/teploobmennik_vpg_14_fd_ladogaz3457.jpg"/><Relationship Id="rId537" Type="http://schemas.openxmlformats.org/officeDocument/2006/relationships/image" Target="../media/manometr_prime_smart_tok_navien_30013530a3458.jpg"/><Relationship Id="rId538" Type="http://schemas.openxmlformats.org/officeDocument/2006/relationships/image" Target="../media/blok_upravleniya_vpg_vilterm_1101_08_1003459.jpg"/><Relationship Id="rId539" Type="http://schemas.openxmlformats.org/officeDocument/2006/relationships/image" Target="../media/020020000300051001_13460.jpg"/><Relationship Id="rId540" Type="http://schemas.openxmlformats.org/officeDocument/2006/relationships/image" Target="../media/gorelka_pilotnaya_0_160_1033461.jpg"/><Relationship Id="rId541" Type="http://schemas.openxmlformats.org/officeDocument/2006/relationships/image" Target="../media/ten_2_5kvt_dvoynoy_1_0_1_5kvt_m5_s_klemmami_pod_razem_l265mm_1509093462.jpg"/><Relationship Id="rId542" Type="http://schemas.openxmlformats.org/officeDocument/2006/relationships/image" Target="../media/000170000005000700_13463.jpg"/><Relationship Id="rId543" Type="http://schemas.openxmlformats.org/officeDocument/2006/relationships/image" Target="../media/026000000000100120_13464.jpg"/><Relationship Id="rId544" Type="http://schemas.openxmlformats.org/officeDocument/2006/relationships/image" Target="../media/020020000000090905_13465.jpg"/><Relationship Id="rId545" Type="http://schemas.openxmlformats.org/officeDocument/2006/relationships/image" Target="../media/020020000000090507_13466.jpg"/><Relationship Id="rId546" Type="http://schemas.openxmlformats.org/officeDocument/2006/relationships/image" Target="../media/020020000000200190_13467.jpg"/><Relationship Id="rId547" Type="http://schemas.openxmlformats.org/officeDocument/2006/relationships/image" Target="../media/datchik_temperatury_dlya_boylera_kit_sonda_ferroli_383240903468.jpg"/><Relationship Id="rId548" Type="http://schemas.openxmlformats.org/officeDocument/2006/relationships/image" Target="../media/datchik_temperatury_kit_sonda_ferroli_394005603469.jpg"/><Relationship Id="rId549" Type="http://schemas.openxmlformats.org/officeDocument/2006/relationships/image" Target="../media/020020000300200100_13470.jpg"/><Relationship Id="rId550" Type="http://schemas.openxmlformats.org/officeDocument/2006/relationships/image" Target="../media/khronotermostat_ferroli_connect_smart_013011xa3471.jpg"/><Relationship Id="rId551" Type="http://schemas.openxmlformats.org/officeDocument/2006/relationships/image" Target="../media/datchik_ulichnoy_temperatury_ferroli_013018x03472.jpg"/><Relationship Id="rId552" Type="http://schemas.openxmlformats.org/officeDocument/2006/relationships/image" Target="../media/remkomplekt_trekhkhodovogo_klapana_immergas_3_0171413473.jpg"/><Relationship Id="rId553" Type="http://schemas.openxmlformats.org/officeDocument/2006/relationships/image" Target="../media/prokladka_3_4_immergas_3_0259553474.jpg"/><Relationship Id="rId554" Type="http://schemas.openxmlformats.org/officeDocument/2006/relationships/image" Target="../media/prokladka_3_8_immergas_3_a11243475.jpg"/><Relationship Id="rId555" Type="http://schemas.openxmlformats.org/officeDocument/2006/relationships/image" Target="../media/prokladka_13_1kh2_62mm_immergas_3_0181943476.jpg"/><Relationship Id="rId556" Type="http://schemas.openxmlformats.org/officeDocument/2006/relationships/image" Target="../media/prokladka_2_9kh1_78mm_immergas_3_0181933477.jpg"/><Relationship Id="rId557" Type="http://schemas.openxmlformats.org/officeDocument/2006/relationships/image" Target="../media/prokladka_21_89kh2_62mm_immergas_3_0181913478.jpg"/><Relationship Id="rId558" Type="http://schemas.openxmlformats.org/officeDocument/2006/relationships/image" Target="../media/prokladka_2_84kh2_62mm_immergas_3_0181923479.jpg"/><Relationship Id="rId559" Type="http://schemas.openxmlformats.org/officeDocument/2006/relationships/image" Target="../media/prokladka_17_86kh2_62mm_immergas_3_0181893480.jpg"/><Relationship Id="rId560" Type="http://schemas.openxmlformats.org/officeDocument/2006/relationships/image" Target="../media/prokladka_13_95kh2_62mm_immergas_3_0181873481.jpg"/><Relationship Id="rId561" Type="http://schemas.openxmlformats.org/officeDocument/2006/relationships/image" Target="../media/prokladka_5_50kh2mm_immergas_3_0181883482.jpg"/><Relationship Id="rId562" Type="http://schemas.openxmlformats.org/officeDocument/2006/relationships/image" Target="../media/prokladka_1_2_immergas_3_a13633483.jpg"/><Relationship Id="rId563" Type="http://schemas.openxmlformats.org/officeDocument/2006/relationships/image" Target="../media/prokladka_6_75kh1_78mm_immergas_3_0181903484.jpg"/><Relationship Id="rId564" Type="http://schemas.openxmlformats.org/officeDocument/2006/relationships/image" Target="../media/prokladka_15_54kh2_62mm_immergas_3_0160553485.jpg"/><Relationship Id="rId565" Type="http://schemas.openxmlformats.org/officeDocument/2006/relationships/image" Target="../media/koltso_uplotnitelnoe_7_6kh2_62mm_immergas_3_0160903486.jpg"/><Relationship Id="rId566" Type="http://schemas.openxmlformats.org/officeDocument/2006/relationships/image" Target="../media/020020000000051060_13487.jpg"/><Relationship Id="rId567" Type="http://schemas.openxmlformats.org/officeDocument/2006/relationships/image" Target="../media/020020000000050370_13488.jpg"/><Relationship Id="rId568" Type="http://schemas.openxmlformats.org/officeDocument/2006/relationships/image" Target="../media/020020000000200300_13489.png"/><Relationship Id="rId569" Type="http://schemas.openxmlformats.org/officeDocument/2006/relationships/image" Target="../media/020020000000090117_13490.jpg"/><Relationship Id="rId570" Type="http://schemas.openxmlformats.org/officeDocument/2006/relationships/image" Target="../media/020020000000091100_13491.jpg"/><Relationship Id="rId571" Type="http://schemas.openxmlformats.org/officeDocument/2006/relationships/image" Target="../media/020040000000030853_13492.jpg"/><Relationship Id="rId572" Type="http://schemas.openxmlformats.org/officeDocument/2006/relationships/image" Target="../media/kontrgayka_latunnaya_dlya_rezbovogo_tena_rdt_du_32_s_rebordoy3493.jpg"/><Relationship Id="rId573" Type="http://schemas.openxmlformats.org/officeDocument/2006/relationships/image" Target="../media/filtr_toplivnyy_lst_13_40k_navien_30004377d3494.jpg"/><Relationship Id="rId574" Type="http://schemas.openxmlformats.org/officeDocument/2006/relationships/image" Target="../media/gilza_mednaya_dlya_kotla_1_23495.jpg"/><Relationship Id="rId575" Type="http://schemas.openxmlformats.org/officeDocument/2006/relationships/image" Target="../media/termopara_universalnaya_zhmz_950mm_s_gaykoy3496.jpg"/><Relationship Id="rId576" Type="http://schemas.openxmlformats.org/officeDocument/2006/relationships/image" Target="../media/trubka_zapalnika_sit_m10_l600_d4_med3497.jpg"/><Relationship Id="rId577" Type="http://schemas.openxmlformats.org/officeDocument/2006/relationships/image" Target="../media/trubka_zapalnika_sit_m10_l400_d4_med3498.jpg"/><Relationship Id="rId578" Type="http://schemas.openxmlformats.org/officeDocument/2006/relationships/image" Target="../media/trubka_zapalnika_sit_m10_l300_d6_alyuminiy3499.jpg"/><Relationship Id="rId579" Type="http://schemas.openxmlformats.org/officeDocument/2006/relationships/image" Target="../media/020020000000049170_13500.jpg"/><Relationship Id="rId580" Type="http://schemas.openxmlformats.org/officeDocument/2006/relationships/image" Target="../media/000170000003921506_13501.jpg"/><Relationship Id="rId581" Type="http://schemas.openxmlformats.org/officeDocument/2006/relationships/image" Target="../media/remkomplekt_gorelki_agu_t_m_mimaks3502.jpg"/><Relationship Id="rId582" Type="http://schemas.openxmlformats.org/officeDocument/2006/relationships/image" Target="../media/020020000000009355_13503.jpg"/><Relationship Id="rId583" Type="http://schemas.openxmlformats.org/officeDocument/2006/relationships/image" Target="../media/020020000000049900_13504.jpg"/><Relationship Id="rId584" Type="http://schemas.openxmlformats.org/officeDocument/2006/relationships/image" Target="../media/uplotnitelnoe_koltso_emk_vest_d31mm3505.jpg"/><Relationship Id="rId585" Type="http://schemas.openxmlformats.org/officeDocument/2006/relationships/image" Target="../media/uplotnitelnoe_koltso_datchika_temperatury_vest_d10mm3506.png"/><Relationship Id="rId586" Type="http://schemas.openxmlformats.org/officeDocument/2006/relationships/image" Target="../media/020020000000090193_13507.png"/><Relationship Id="rId587" Type="http://schemas.openxmlformats.org/officeDocument/2006/relationships/image" Target="../media/020020000000200048_13508.jpg"/><Relationship Id="rId588" Type="http://schemas.openxmlformats.org/officeDocument/2006/relationships/image" Target="../media/vodyanoy_blok_neva_4311_60_000_universalnyy3509.jpg"/><Relationship Id="rId589" Type="http://schemas.openxmlformats.org/officeDocument/2006/relationships/image" Target="../media/020020000000090445_13510.jpg"/><Relationship Id="rId590" Type="http://schemas.openxmlformats.org/officeDocument/2006/relationships/image" Target="../media/020020000000090444_13511.jpg"/><Relationship Id="rId591" Type="http://schemas.openxmlformats.org/officeDocument/2006/relationships/image" Target="../media/kran_podpitki_nike_mini_28_special_immergas_3_0166993512.jpg"/><Relationship Id="rId592" Type="http://schemas.openxmlformats.org/officeDocument/2006/relationships/image" Target="../media/020020000000050495_13513.png"/><Relationship Id="rId593" Type="http://schemas.openxmlformats.org/officeDocument/2006/relationships/image" Target="../media/rasshiritelnyy_bak_7_5_l_immergas_1_0237433514.jpg"/><Relationship Id="rId594" Type="http://schemas.openxmlformats.org/officeDocument/2006/relationships/image" Target="../media/elektrod_rozzhiga_levyy_nike_mini_28_immergas_1_025665_analog_1_24053515.jpg"/><Relationship Id="rId595" Type="http://schemas.openxmlformats.org/officeDocument/2006/relationships/image" Target="../media/elektrod_rozzhiga_pravyy_nike_mini_28_immergas_1_025666_analog_1_24083516.jpg"/><Relationship Id="rId596" Type="http://schemas.openxmlformats.org/officeDocument/2006/relationships/image" Target="../media/gorelka_14_liniy_nike_mini_28_special_immergas_1_0198503517.jpg"/><Relationship Id="rId597" Type="http://schemas.openxmlformats.org/officeDocument/2006/relationships/image" Target="../media/truba_d18_teploobmennik_gidravlicheskaya_gruppa_nike_mini28_special_immergas_1_0213393518.jpg"/><Relationship Id="rId598" Type="http://schemas.openxmlformats.org/officeDocument/2006/relationships/image" Target="../media/vozdukhootvodchik_immergas_1_0221023519.jpg"/><Relationship Id="rId599" Type="http://schemas.openxmlformats.org/officeDocument/2006/relationships/image" Target="../media/datchik_ntc_pogruzhnoy_immergas_1_0217623520.jpg"/><Relationship Id="rId600" Type="http://schemas.openxmlformats.org/officeDocument/2006/relationships/image" Target="../media/truba_d10_vkhodnoy_kollektor_kholodnoy_vody_rasshiritelnyy_bak_nike_mini_28_special_immergas_1_023403521.jpg"/><Relationship Id="rId601" Type="http://schemas.openxmlformats.org/officeDocument/2006/relationships/image" Target="../media/manometr_immergas_1_0219083522.jpg"/><Relationship Id="rId602" Type="http://schemas.openxmlformats.org/officeDocument/2006/relationships/image" Target="../media/truba_d18_gazovyy_klapan_raspredelitel_nike_mini_28_special_immergas_1_0224083523.jpg"/><Relationship Id="rId603" Type="http://schemas.openxmlformats.org/officeDocument/2006/relationships/image" Target="../media/020020000000050502_13524.png"/><Relationship Id="rId604" Type="http://schemas.openxmlformats.org/officeDocument/2006/relationships/image" Target="../media/truba_d18_teploobmennik_gidravlicheskaya_gruppa_immergas_mini_nike_28_special_1_0224073525.jpg"/><Relationship Id="rId605" Type="http://schemas.openxmlformats.org/officeDocument/2006/relationships/image" Target="../media/020020000000050600_13526.png"/><Relationship Id="rId606" Type="http://schemas.openxmlformats.org/officeDocument/2006/relationships/image" Target="../media/teploobmennik_pervichnyy_98_lameley_immergas_1_0190073527.jpg"/><Relationship Id="rId607" Type="http://schemas.openxmlformats.org/officeDocument/2006/relationships/image" Target="../media/teploobmennik_gvs_16_plastin_nike_mini_28_special_immergas_1_0222213528.jpg"/><Relationship Id="rId608" Type="http://schemas.openxmlformats.org/officeDocument/2006/relationships/image" Target="../media/servoprivod_3kh_khodovogo_klapana_flantsevyy_nike_mini_24_28_immergas_1_0222713529.jpg"/><Relationship Id="rId609" Type="http://schemas.openxmlformats.org/officeDocument/2006/relationships/image" Target="../media/trekhkhodovoy_klapan_v_sbore_nike_mini_28_special_immergas_3_0167013530.jpg"/><Relationship Id="rId610" Type="http://schemas.openxmlformats.org/officeDocument/2006/relationships/image" Target="../media/plata_upravleniya_nike_mini_28_special_immergas_1_0259953531.jpg"/><Relationship Id="rId611" Type="http://schemas.openxmlformats.org/officeDocument/2006/relationships/image" Target="../media/klapan_sbrosnoy_3bar_immergas_1_0223063532.jpg"/><Relationship Id="rId612" Type="http://schemas.openxmlformats.org/officeDocument/2006/relationships/image" Target="../media/kollektor_dlya_prirodnogo_gaza_14_sopel_g20_immergas_1_0202233533.jpg"/><Relationship Id="rId613" Type="http://schemas.openxmlformats.org/officeDocument/2006/relationships/image" Target="../media/truba_d12_rele_potoka_kollektora_podachi_kholodnoy_vody_immergas_1_0229373534.jpg"/><Relationship Id="rId614" Type="http://schemas.openxmlformats.org/officeDocument/2006/relationships/image" Target="../media/truba_d18_immergas_1_0229353535.jpg"/><Relationship Id="rId615" Type="http://schemas.openxmlformats.org/officeDocument/2006/relationships/image" Target="../media/korpus_perepusknogo_klapana_nike_mini_28_special_immergas_1_0229363536.jpg"/><Relationship Id="rId616" Type="http://schemas.openxmlformats.org/officeDocument/2006/relationships/image" Target="../media/nasos_43_15_nike_mini_28_kw_special_immergas_1_0230533537.jpg"/><Relationship Id="rId617" Type="http://schemas.openxmlformats.org/officeDocument/2006/relationships/image" Target="../media/kollektor_podachi_kholodnoy_vody_nike_mini_28kw_special_immergas_1_0233973538.jpg"/><Relationship Id="rId618" Type="http://schemas.openxmlformats.org/officeDocument/2006/relationships/image" Target="../media/zapalnik_agu_p_signal3539.jpg"/><Relationship Id="rId619" Type="http://schemas.openxmlformats.org/officeDocument/2006/relationships/image" Target="../media/komplekt_provodov_nike_mini_28kw_special_immergas3540.jpg"/><Relationship Id="rId620" Type="http://schemas.openxmlformats.org/officeDocument/2006/relationships/image" Target="../media/teploobmennik_pervichnyy_24kvt_gelios_plus_e_s_a_70069077343541.jpg"/><Relationship Id="rId621" Type="http://schemas.openxmlformats.org/officeDocument/2006/relationships/image" Target="../media/teploobmennik_pervichnyy_gerda_24kvt_e_s_a_70069079163542.jpg"/><Relationship Id="rId622" Type="http://schemas.openxmlformats.org/officeDocument/2006/relationships/image" Target="../media/teploobmennik_gvs_proteus_plus_24kvt_e_s_a_70069029923543.jpg"/><Relationship Id="rId623" Type="http://schemas.openxmlformats.org/officeDocument/2006/relationships/image" Target="../media/020020000400020005_13544.jpg"/><Relationship Id="rId624" Type="http://schemas.openxmlformats.org/officeDocument/2006/relationships/image" Target="../media/020020000400030000_13545.jpg"/><Relationship Id="rId625" Type="http://schemas.openxmlformats.org/officeDocument/2006/relationships/image" Target="../media/020020000400040001_13546.jpg"/><Relationship Id="rId626" Type="http://schemas.openxmlformats.org/officeDocument/2006/relationships/image" Target="../media/020020000400040010_13547.jpg"/><Relationship Id="rId627" Type="http://schemas.openxmlformats.org/officeDocument/2006/relationships/image" Target="../media/020020000400040015_13548.jpg"/><Relationship Id="rId628" Type="http://schemas.openxmlformats.org/officeDocument/2006/relationships/image" Target="../media/020020000400050000_13549.png"/><Relationship Id="rId629" Type="http://schemas.openxmlformats.org/officeDocument/2006/relationships/image" Target="../media/020020000400060000_13550.jpg"/><Relationship Id="rId630" Type="http://schemas.openxmlformats.org/officeDocument/2006/relationships/image" Target="../media/020020000400060010_13551.png"/><Relationship Id="rId631" Type="http://schemas.openxmlformats.org/officeDocument/2006/relationships/image" Target="../media/datchik_raskhoda_gerda_e_s_a_70069075493552.jpg"/><Relationship Id="rId632" Type="http://schemas.openxmlformats.org/officeDocument/2006/relationships/image" Target="../media/020020000400070030_13553.jpg"/><Relationship Id="rId633" Type="http://schemas.openxmlformats.org/officeDocument/2006/relationships/image" Target="../media/020020000400080100_13554.jpg"/><Relationship Id="rId634" Type="http://schemas.openxmlformats.org/officeDocument/2006/relationships/image" Target="../media/ten_dlya_umyvalnika_1_5_kvt_l_280mm_02_1153555.jpg"/><Relationship Id="rId635" Type="http://schemas.openxmlformats.org/officeDocument/2006/relationships/image" Target="../media/ten_dlya_umyvalnika_1_25_kvt_l_200mm_02_1253556.jpg"/><Relationship Id="rId636" Type="http://schemas.openxmlformats.org/officeDocument/2006/relationships/image" Target="../media/ten_dlya_radiatora_rdt_1kvt_l272mm_du_32_240663557.jpg"/><Relationship Id="rId637" Type="http://schemas.openxmlformats.org/officeDocument/2006/relationships/image" Target="../media/ten_dlya_radiatora_rdt_1_5kvt_l272mm_du_32_240683558.jpg"/><Relationship Id="rId638" Type="http://schemas.openxmlformats.org/officeDocument/2006/relationships/image" Target="../media/020040000000001085_13559.jpg"/><Relationship Id="rId639" Type="http://schemas.openxmlformats.org/officeDocument/2006/relationships/image" Target="../media/000170011000002000_13560.jpg"/><Relationship Id="rId640" Type="http://schemas.openxmlformats.org/officeDocument/2006/relationships/image" Target="../media/ten_dlya_radiatora_rdt_0_8kvt_l315mm_du_32_240653561.jpg"/><Relationship Id="rId641" Type="http://schemas.openxmlformats.org/officeDocument/2006/relationships/image" Target="../media/ten_dlya_radiatora_1kvt_l390mm_du_25_pravaya_rezba_r10p3562.jpg"/><Relationship Id="rId642" Type="http://schemas.openxmlformats.org/officeDocument/2006/relationships/image" Target="../media/ten_dlya_radiatora_1_5kvt_l450mm_du_25_pravaya_rezba_r15p3563.jpg"/><Relationship Id="rId643" Type="http://schemas.openxmlformats.org/officeDocument/2006/relationships/image" Target="../media/000180000000000095_13564.jpg"/><Relationship Id="rId644" Type="http://schemas.openxmlformats.org/officeDocument/2006/relationships/image" Target="../media/020040000000040200_13565.jpg"/><Relationship Id="rId645" Type="http://schemas.openxmlformats.org/officeDocument/2006/relationships/image" Target="../media/020020000000090860_13566.jpg"/><Relationship Id="rId646" Type="http://schemas.openxmlformats.org/officeDocument/2006/relationships/image" Target="../media/020020000000090890_13567.jpg"/><Relationship Id="rId647" Type="http://schemas.openxmlformats.org/officeDocument/2006/relationships/image" Target="../media/020020000200273480_13568.jpg"/><Relationship Id="rId648" Type="http://schemas.openxmlformats.org/officeDocument/2006/relationships/image" Target="../media/020020000000090803_13569.jpg"/><Relationship Id="rId649" Type="http://schemas.openxmlformats.org/officeDocument/2006/relationships/image" Target="../media/020020000000006106_13570.jpg"/><Relationship Id="rId650" Type="http://schemas.openxmlformats.org/officeDocument/2006/relationships/image" Target="../media/020020000000009320_13571.jpg"/><Relationship Id="rId651" Type="http://schemas.openxmlformats.org/officeDocument/2006/relationships/image" Target="../media/000170000003206900_13572.jpg"/><Relationship Id="rId652" Type="http://schemas.openxmlformats.org/officeDocument/2006/relationships/image" Target="../media/000180000000000097_13573.jpg"/><Relationship Id="rId653" Type="http://schemas.openxmlformats.org/officeDocument/2006/relationships/image" Target="../media/020040000000030828_13574.jpg"/><Relationship Id="rId654" Type="http://schemas.openxmlformats.org/officeDocument/2006/relationships/image" Target="../media/020040000000040107_13575.jpg"/><Relationship Id="rId655" Type="http://schemas.openxmlformats.org/officeDocument/2006/relationships/image" Target="../media/020020000300070010_13576.jpg"/><Relationship Id="rId656" Type="http://schemas.openxmlformats.org/officeDocument/2006/relationships/image" Target="../media/020020000300120050_13577.jpg"/><Relationship Id="rId657" Type="http://schemas.openxmlformats.org/officeDocument/2006/relationships/image" Target="../media/020020000000200004_13578.png"/><Relationship Id="rId658" Type="http://schemas.openxmlformats.org/officeDocument/2006/relationships/image" Target="../media/020020000000200001_13579.jpg"/><Relationship Id="rId659" Type="http://schemas.openxmlformats.org/officeDocument/2006/relationships/image" Target="../media/020020000000090401_13580.jpg"/><Relationship Id="rId660" Type="http://schemas.openxmlformats.org/officeDocument/2006/relationships/image" Target="../media/020020000000090010_13581.jpg"/><Relationship Id="rId661" Type="http://schemas.openxmlformats.org/officeDocument/2006/relationships/image" Target="../media/020020000000000022_13582.jpg"/><Relationship Id="rId662" Type="http://schemas.openxmlformats.org/officeDocument/2006/relationships/image" Target="../media/020020000000009565_13583.jpg"/><Relationship Id="rId663" Type="http://schemas.openxmlformats.org/officeDocument/2006/relationships/image" Target="../media/020020000000090006_13584.png"/><Relationship Id="rId664" Type="http://schemas.openxmlformats.org/officeDocument/2006/relationships/image" Target="../media/020020000000090095_13585.jpg"/><Relationship Id="rId665" Type="http://schemas.openxmlformats.org/officeDocument/2006/relationships/image" Target="../media/datchik_protoka_deluxe_s_13_35k_navien_30020634a3586.jpg"/><Relationship Id="rId666" Type="http://schemas.openxmlformats.org/officeDocument/2006/relationships/image" Target="../media/020020000000200007_13587.jpg"/><Relationship Id="rId667" Type="http://schemas.openxmlformats.org/officeDocument/2006/relationships/image" Target="../media/nasos_toplivnyy_plunzhernyy_lfa_lst_30k_navien_30004240v3588.jpg"/><Relationship Id="rId668" Type="http://schemas.openxmlformats.org/officeDocument/2006/relationships/image" Target="../media/020020000000100900_13589.jpg"/><Relationship Id="rId669" Type="http://schemas.openxmlformats.org/officeDocument/2006/relationships/image" Target="../media/020020000000090280_13590.jpg"/><Relationship Id="rId670" Type="http://schemas.openxmlformats.org/officeDocument/2006/relationships/image" Target="../media/020020000000090976_13591.jpg"/><Relationship Id="rId671" Type="http://schemas.openxmlformats.org/officeDocument/2006/relationships/image" Target="../media/020020000000200099_13592.jpg"/><Relationship Id="rId672" Type="http://schemas.openxmlformats.org/officeDocument/2006/relationships/image" Target="../media/020040000000040051_13593.jpg"/><Relationship Id="rId673" Type="http://schemas.openxmlformats.org/officeDocument/2006/relationships/image" Target="../media/020040000000040112_13594.jpg"/><Relationship Id="rId674" Type="http://schemas.openxmlformats.org/officeDocument/2006/relationships/image" Target="../media/026000000000100130_13595.jpg"/><Relationship Id="rId675" Type="http://schemas.openxmlformats.org/officeDocument/2006/relationships/image" Target="../media/plata_upravleniya_mythos_immergas_1_0392313596.jpg"/><Relationship Id="rId676" Type="http://schemas.openxmlformats.org/officeDocument/2006/relationships/image" Target="../media/020020000000051110_13597.jpg"/><Relationship Id="rId677" Type="http://schemas.openxmlformats.org/officeDocument/2006/relationships/image" Target="../media/020020000000090815_13598.jpg"/><Relationship Id="rId678" Type="http://schemas.openxmlformats.org/officeDocument/2006/relationships/image" Target="../media/020020000000100901_13599.jpg"/><Relationship Id="rId679" Type="http://schemas.openxmlformats.org/officeDocument/2006/relationships/image" Target="../media/020020000000090396_13600.jpg"/><Relationship Id="rId680" Type="http://schemas.openxmlformats.org/officeDocument/2006/relationships/image" Target="../media/020020000000090479_13601.jpg"/><Relationship Id="rId681" Type="http://schemas.openxmlformats.org/officeDocument/2006/relationships/image" Target="../media/020020000000050107_13602.jpg"/><Relationship Id="rId682" Type="http://schemas.openxmlformats.org/officeDocument/2006/relationships/image" Target="../media/020020000000049007_13603.jpg"/><Relationship Id="rId683" Type="http://schemas.openxmlformats.org/officeDocument/2006/relationships/image" Target="../media/020020000000049420_13604.jpg"/><Relationship Id="rId684" Type="http://schemas.openxmlformats.org/officeDocument/2006/relationships/image" Target="../media/020020000000010075_13605.jpg"/><Relationship Id="rId685" Type="http://schemas.openxmlformats.org/officeDocument/2006/relationships/image" Target="../media/020020000000010085_13606.jpg"/><Relationship Id="rId686" Type="http://schemas.openxmlformats.org/officeDocument/2006/relationships/image" Target="../media/020020000000010115_13607.jpg"/><Relationship Id="rId687" Type="http://schemas.openxmlformats.org/officeDocument/2006/relationships/image" Target="../media/020020000000010095_13608.jpg"/><Relationship Id="rId688" Type="http://schemas.openxmlformats.org/officeDocument/2006/relationships/image" Target="../media/020020000000009365_13609.jpg"/><Relationship Id="rId689" Type="http://schemas.openxmlformats.org/officeDocument/2006/relationships/image" Target="../media/020020000000009520_13610.jpg"/><Relationship Id="rId690" Type="http://schemas.openxmlformats.org/officeDocument/2006/relationships/image" Target="../media/020020000000090202_13611.jpg"/><Relationship Id="rId691" Type="http://schemas.openxmlformats.org/officeDocument/2006/relationships/image" Target="../media/020020000200273470_13612.png"/><Relationship Id="rId692" Type="http://schemas.openxmlformats.org/officeDocument/2006/relationships/image" Target="../media/020020000000200055_13613.jpg"/><Relationship Id="rId693" Type="http://schemas.openxmlformats.org/officeDocument/2006/relationships/image" Target="../media/020020000000091110_13614.png"/><Relationship Id="rId694" Type="http://schemas.openxmlformats.org/officeDocument/2006/relationships/image" Target="../media/020020000000049070_13615.jpg"/><Relationship Id="rId695" Type="http://schemas.openxmlformats.org/officeDocument/2006/relationships/image" Target="../media/020020000400010045_13616.jpg"/><Relationship Id="rId696" Type="http://schemas.openxmlformats.org/officeDocument/2006/relationships/image" Target="../media/020020000000005493_13617.jpg"/><Relationship Id="rId697" Type="http://schemas.openxmlformats.org/officeDocument/2006/relationships/image" Target="../media/gorelka_pilotnaya_0_160_1183618.jpg"/><Relationship Id="rId698" Type="http://schemas.openxmlformats.org/officeDocument/2006/relationships/image" Target="../media/000170012000000500_13619.jpg"/><Relationship Id="rId699" Type="http://schemas.openxmlformats.org/officeDocument/2006/relationships/image" Target="../media/000170012000000510_13620.jpg"/><Relationship Id="rId700" Type="http://schemas.openxmlformats.org/officeDocument/2006/relationships/image" Target="../media/000170010001250150_13621.jpg"/><Relationship Id="rId701" Type="http://schemas.openxmlformats.org/officeDocument/2006/relationships/image" Target="../media/000170000004501500_13622.jpg"/><Relationship Id="rId702" Type="http://schemas.openxmlformats.org/officeDocument/2006/relationships/image" Target="../media/000170000004502000_13623.jpg"/><Relationship Id="rId703" Type="http://schemas.openxmlformats.org/officeDocument/2006/relationships/image" Target="../media/000170000004401500_13624.jpg"/><Relationship Id="rId704" Type="http://schemas.openxmlformats.org/officeDocument/2006/relationships/image" Target="../media/000170000004402000_13625.jpg"/><Relationship Id="rId705" Type="http://schemas.openxmlformats.org/officeDocument/2006/relationships/image" Target="../media/000170000004601000_13626.jpg"/><Relationship Id="rId706" Type="http://schemas.openxmlformats.org/officeDocument/2006/relationships/image" Target="../media/000170000004601600_13627.jpg"/><Relationship Id="rId707" Type="http://schemas.openxmlformats.org/officeDocument/2006/relationships/image" Target="../media/000170000004602000_13628.jpg"/><Relationship Id="rId708" Type="http://schemas.openxmlformats.org/officeDocument/2006/relationships/image" Target="../media/020020000000090207_13629.jpg"/><Relationship Id="rId709" Type="http://schemas.openxmlformats.org/officeDocument/2006/relationships/image" Target="../media/020020000000090140_13630.jpg"/><Relationship Id="rId710" Type="http://schemas.openxmlformats.org/officeDocument/2006/relationships/image" Target="../media/020020000000001719_13631.jpg"/><Relationship Id="rId711" Type="http://schemas.openxmlformats.org/officeDocument/2006/relationships/image" Target="../media/020020000000050390_13632.jpg"/><Relationship Id="rId712" Type="http://schemas.openxmlformats.org/officeDocument/2006/relationships/image" Target="../media/020020000000009170_13633.jpg"/><Relationship Id="rId713" Type="http://schemas.openxmlformats.org/officeDocument/2006/relationships/image" Target="../media/020040000000030910_13634.jpg"/><Relationship Id="rId714" Type="http://schemas.openxmlformats.org/officeDocument/2006/relationships/image" Target="../media/020040000000030915_13635.jpg"/><Relationship Id="rId715" Type="http://schemas.openxmlformats.org/officeDocument/2006/relationships/image" Target="../media/000170000004602500_13636.jpg"/><Relationship Id="rId716" Type="http://schemas.openxmlformats.org/officeDocument/2006/relationships/image" Target="../media/000170000004604000_13637.jpg"/><Relationship Id="rId717" Type="http://schemas.openxmlformats.org/officeDocument/2006/relationships/image" Target="../media/000170000004602510_13638.jpg"/><Relationship Id="rId718" Type="http://schemas.openxmlformats.org/officeDocument/2006/relationships/image" Target="../media/000170000004603000_13639.jpg"/><Relationship Id="rId719" Type="http://schemas.openxmlformats.org/officeDocument/2006/relationships/image" Target="../media/020020000000090397_13640.jpg"/><Relationship Id="rId720" Type="http://schemas.openxmlformats.org/officeDocument/2006/relationships/image" Target="../media/020020000000090100_13641.jpg"/><Relationship Id="rId721" Type="http://schemas.openxmlformats.org/officeDocument/2006/relationships/image" Target="../media/020020000000090421_13642.jpg"/><Relationship Id="rId722" Type="http://schemas.openxmlformats.org/officeDocument/2006/relationships/image" Target="../media/020020000200235840_13643.jpg"/><Relationship Id="rId723" Type="http://schemas.openxmlformats.org/officeDocument/2006/relationships/image" Target="../media/020020000200235850_13644.jpg"/><Relationship Id="rId724" Type="http://schemas.openxmlformats.org/officeDocument/2006/relationships/image" Target="../media/020020000000090435_13645.jpg"/><Relationship Id="rId725" Type="http://schemas.openxmlformats.org/officeDocument/2006/relationships/image" Target="../media/020020000000090306_13646.jpg"/><Relationship Id="rId726" Type="http://schemas.openxmlformats.org/officeDocument/2006/relationships/image" Target="../media/020020000000090525_13647.jpg"/><Relationship Id="rId727" Type="http://schemas.openxmlformats.org/officeDocument/2006/relationships/image" Target="../media/020020000000090436_13648.jpg"/><Relationship Id="rId728" Type="http://schemas.openxmlformats.org/officeDocument/2006/relationships/image" Target="../media/020040000000040058_13649.jpg"/><Relationship Id="rId729" Type="http://schemas.openxmlformats.org/officeDocument/2006/relationships/image" Target="../media/020020000200050050_13650.jpg"/><Relationship Id="rId730" Type="http://schemas.openxmlformats.org/officeDocument/2006/relationships/image" Target="../media/020020000000090801_13651.jpg"/><Relationship Id="rId731" Type="http://schemas.openxmlformats.org/officeDocument/2006/relationships/image" Target="../media/020020000000090136_13652.jpg"/><Relationship Id="rId732" Type="http://schemas.openxmlformats.org/officeDocument/2006/relationships/image" Target="../media/020020000000006536_13653.jpg"/><Relationship Id="rId733" Type="http://schemas.openxmlformats.org/officeDocument/2006/relationships/image" Target="../media/020020000300200250_13654.jpg"/><Relationship Id="rId734" Type="http://schemas.openxmlformats.org/officeDocument/2006/relationships/image" Target="../media/020040000000040015_13655.jpg"/><Relationship Id="rId735" Type="http://schemas.openxmlformats.org/officeDocument/2006/relationships/image" Target="../media/020040000000040030_13656.jpg"/><Relationship Id="rId736" Type="http://schemas.openxmlformats.org/officeDocument/2006/relationships/image" Target="../media/020040000000040032_13657.jpg"/><Relationship Id="rId737" Type="http://schemas.openxmlformats.org/officeDocument/2006/relationships/image" Target="../media/020020000000049906_13658.jpg"/><Relationship Id="rId738" Type="http://schemas.openxmlformats.org/officeDocument/2006/relationships/image" Target="../media/020020000000006103_13659.jpg"/><Relationship Id="rId739" Type="http://schemas.openxmlformats.org/officeDocument/2006/relationships/image" Target="../media/020020000300150000_13660.jpg"/><Relationship Id="rId740" Type="http://schemas.openxmlformats.org/officeDocument/2006/relationships/image" Target="../media/020020000300111000_13661.jpg"/><Relationship Id="rId741" Type="http://schemas.openxmlformats.org/officeDocument/2006/relationships/image" Target="../media/020020000000090398_13662.jpg"/><Relationship Id="rId742" Type="http://schemas.openxmlformats.org/officeDocument/2006/relationships/image" Target="../media/020020000000090882_13663.jpg"/><Relationship Id="rId743" Type="http://schemas.openxmlformats.org/officeDocument/2006/relationships/image" Target="../media/020020000200352340_13664.jpg"/><Relationship Id="rId744" Type="http://schemas.openxmlformats.org/officeDocument/2006/relationships/image" Target="../media/020020000200187440_13665.jpg"/><Relationship Id="rId745" Type="http://schemas.openxmlformats.org/officeDocument/2006/relationships/image" Target="../media/020020000000005518_13666.jpg"/><Relationship Id="rId746" Type="http://schemas.openxmlformats.org/officeDocument/2006/relationships/image" Target="../media/020020000300010005_13667.jpg"/><Relationship Id="rId747" Type="http://schemas.openxmlformats.org/officeDocument/2006/relationships/image" Target="../media/020020000300022000_13668.jpg"/><Relationship Id="rId748" Type="http://schemas.openxmlformats.org/officeDocument/2006/relationships/image" Target="../media/vozdukhootvodchik_ferroli_vitabel_fortuna_461601403669.jpg"/><Relationship Id="rId749" Type="http://schemas.openxmlformats.org/officeDocument/2006/relationships/image" Target="../media/020020000300020030_13670.jpg"/><Relationship Id="rId750" Type="http://schemas.openxmlformats.org/officeDocument/2006/relationships/image" Target="../media/020020000300200350_13671.jpg"/><Relationship Id="rId751" Type="http://schemas.openxmlformats.org/officeDocument/2006/relationships/image" Target="../media/020020000300200400_13672.jpg"/><Relationship Id="rId752" Type="http://schemas.openxmlformats.org/officeDocument/2006/relationships/image" Target="../media/020020000300200410_13673.jpg"/><Relationship Id="rId753" Type="http://schemas.openxmlformats.org/officeDocument/2006/relationships/image" Target="../media/020020000300030015_13674.jpg"/><Relationship Id="rId754" Type="http://schemas.openxmlformats.org/officeDocument/2006/relationships/image" Target="../media/020020000300115000_13675.jpg"/><Relationship Id="rId755" Type="http://schemas.openxmlformats.org/officeDocument/2006/relationships/image" Target="../media/kran_podpitki_ferroli_bluehelix_3980i0503676.jpg"/><Relationship Id="rId756" Type="http://schemas.openxmlformats.org/officeDocument/2006/relationships/image" Target="../media/020020000300300100_13677.jpg"/><Relationship Id="rId757" Type="http://schemas.openxmlformats.org/officeDocument/2006/relationships/image" Target="../media/020020000300300200_13678.jpg"/><Relationship Id="rId758" Type="http://schemas.openxmlformats.org/officeDocument/2006/relationships/image" Target="../media/020020000300300310_13679.jpg"/><Relationship Id="rId759" Type="http://schemas.openxmlformats.org/officeDocument/2006/relationships/image" Target="../media/020020000300300400_13680.jpg"/><Relationship Id="rId760" Type="http://schemas.openxmlformats.org/officeDocument/2006/relationships/image" Target="../media/020020000300300500_13681.jpg"/><Relationship Id="rId761" Type="http://schemas.openxmlformats.org/officeDocument/2006/relationships/image" Target="../media/020020000300300320_13682.jpg"/><Relationship Id="rId762" Type="http://schemas.openxmlformats.org/officeDocument/2006/relationships/image" Target="../media/020020000300400000_13683.jpg"/><Relationship Id="rId763" Type="http://schemas.openxmlformats.org/officeDocument/2006/relationships/image" Target="../media/020020000300400010_13684.jpg"/><Relationship Id="rId764" Type="http://schemas.openxmlformats.org/officeDocument/2006/relationships/image" Target="../media/020020000300400035_13685.jpg"/><Relationship Id="rId765" Type="http://schemas.openxmlformats.org/officeDocument/2006/relationships/image" Target="../media/020020000300400100_13686.jpg"/><Relationship Id="rId766" Type="http://schemas.openxmlformats.org/officeDocument/2006/relationships/image" Target="../media/020020000300500106_13687.jpg"/><Relationship Id="rId767" Type="http://schemas.openxmlformats.org/officeDocument/2006/relationships/image" Target="../media/020020000300500109_13688.jpg"/><Relationship Id="rId768" Type="http://schemas.openxmlformats.org/officeDocument/2006/relationships/image" Target="../media/nagrevatel_ten_12kvt_ferroli_tor_9026256303689.jpg"/><Relationship Id="rId769" Type="http://schemas.openxmlformats.org/officeDocument/2006/relationships/image" Target="../media/020020000300600000_13690.jpg"/><Relationship Id="rId770" Type="http://schemas.openxmlformats.org/officeDocument/2006/relationships/image" Target="../media/020020000300600200_13691.jpg"/><Relationship Id="rId771" Type="http://schemas.openxmlformats.org/officeDocument/2006/relationships/image" Target="../media/020020000300600210_13692.jpg"/><Relationship Id="rId772" Type="http://schemas.openxmlformats.org/officeDocument/2006/relationships/image" Target="../media/020020000300600220_13693.jpg"/><Relationship Id="rId773" Type="http://schemas.openxmlformats.org/officeDocument/2006/relationships/image" Target="../media/020020000300600215_13694.jpg"/><Relationship Id="rId774" Type="http://schemas.openxmlformats.org/officeDocument/2006/relationships/image" Target="../media/020020000300600205_13695.jpg"/><Relationship Id="rId775" Type="http://schemas.openxmlformats.org/officeDocument/2006/relationships/image" Target="../media/020020000300600300_13696.jpg"/><Relationship Id="rId776" Type="http://schemas.openxmlformats.org/officeDocument/2006/relationships/image" Target="../media/020020000000090124_13697.jpg"/><Relationship Id="rId777" Type="http://schemas.openxmlformats.org/officeDocument/2006/relationships/image" Target="../media/020020000000090466_13698.jpg"/><Relationship Id="rId778" Type="http://schemas.openxmlformats.org/officeDocument/2006/relationships/image" Target="../media/020020000000090530_13699.jpg"/><Relationship Id="rId779" Type="http://schemas.openxmlformats.org/officeDocument/2006/relationships/image" Target="../media/mikrovyklyuchatel_neva_4610_3_provoda3700.jpg"/><Relationship Id="rId780" Type="http://schemas.openxmlformats.org/officeDocument/2006/relationships/image" Target="../media/020020000000090438_13701.jpg"/><Relationship Id="rId781" Type="http://schemas.openxmlformats.org/officeDocument/2006/relationships/image" Target="../media/020020000000090439_13702.jpg"/><Relationship Id="rId782" Type="http://schemas.openxmlformats.org/officeDocument/2006/relationships/image" Target="../media/020020000000090924_13703.jpg"/><Relationship Id="rId783" Type="http://schemas.openxmlformats.org/officeDocument/2006/relationships/image" Target="../media/020020000000090925_13704.jpg"/><Relationship Id="rId784" Type="http://schemas.openxmlformats.org/officeDocument/2006/relationships/image" Target="../media/020020000000100030_13705.jpg"/><Relationship Id="rId785" Type="http://schemas.openxmlformats.org/officeDocument/2006/relationships/image" Target="../media/020020000000090620_13706.jpg"/><Relationship Id="rId786" Type="http://schemas.openxmlformats.org/officeDocument/2006/relationships/image" Target="../media/020020000000090118_13707.jpg"/><Relationship Id="rId787" Type="http://schemas.openxmlformats.org/officeDocument/2006/relationships/image" Target="../media/020020000000001790_13708.jpg"/><Relationship Id="rId788" Type="http://schemas.openxmlformats.org/officeDocument/2006/relationships/image" Target="../media/020020000000090422_13709.jpg"/><Relationship Id="rId789" Type="http://schemas.openxmlformats.org/officeDocument/2006/relationships/image" Target="../media/020040000000030829_13710.jpg"/><Relationship Id="rId790" Type="http://schemas.openxmlformats.org/officeDocument/2006/relationships/image" Target="../media/020020000000090121_13711.jpg"/><Relationship Id="rId791" Type="http://schemas.openxmlformats.org/officeDocument/2006/relationships/image" Target="../media/020020000000200051_13712.jpg"/><Relationship Id="rId792" Type="http://schemas.openxmlformats.org/officeDocument/2006/relationships/image" Target="../media/020020000000090483_13713.jpg"/><Relationship Id="rId793" Type="http://schemas.openxmlformats.org/officeDocument/2006/relationships/image" Target="../media/020040000000030836_13714.jpg"/><Relationship Id="rId794" Type="http://schemas.openxmlformats.org/officeDocument/2006/relationships/image" Target="../media/000180000000000102_13715.jpg"/><Relationship Id="rId795" Type="http://schemas.openxmlformats.org/officeDocument/2006/relationships/image" Target="../media/020020000000090526_13716.jpg"/><Relationship Id="rId796" Type="http://schemas.openxmlformats.org/officeDocument/2006/relationships/image" Target="../media/020020000000090358_13717.jpg"/><Relationship Id="rId797" Type="http://schemas.openxmlformats.org/officeDocument/2006/relationships/image" Target="../media/020020000000090876_13718.jpg"/><Relationship Id="rId798" Type="http://schemas.openxmlformats.org/officeDocument/2006/relationships/image" Target="../media/020020000000009801_13719.jpg"/><Relationship Id="rId799" Type="http://schemas.openxmlformats.org/officeDocument/2006/relationships/image" Target="../media/020020000000090394_13720.jpg"/><Relationship Id="rId800" Type="http://schemas.openxmlformats.org/officeDocument/2006/relationships/image" Target="../media/020020000000090393_13721.jpg"/><Relationship Id="rId801" Type="http://schemas.openxmlformats.org/officeDocument/2006/relationships/image" Target="../media/020020000000090392_13722.jpg"/><Relationship Id="rId802" Type="http://schemas.openxmlformats.org/officeDocument/2006/relationships/image" Target="../media/020020000000090391_13723.jpg"/><Relationship Id="rId803" Type="http://schemas.openxmlformats.org/officeDocument/2006/relationships/image" Target="../media/020020000000090871_13724.jpg"/><Relationship Id="rId804" Type="http://schemas.openxmlformats.org/officeDocument/2006/relationships/image" Target="../media/patrubok_adapter_gvs_navien_deluxe_s_35_30015724a3725.jpg"/><Relationship Id="rId805" Type="http://schemas.openxmlformats.org/officeDocument/2006/relationships/image" Target="../media/020020000000090859_13726.jpg"/><Relationship Id="rId806" Type="http://schemas.openxmlformats.org/officeDocument/2006/relationships/image" Target="../media/020020000200217300_13727.jpg"/><Relationship Id="rId807" Type="http://schemas.openxmlformats.org/officeDocument/2006/relationships/image" Target="../media/020020000000080000_13728.jpg"/><Relationship Id="rId808" Type="http://schemas.openxmlformats.org/officeDocument/2006/relationships/image" Target="../media/020020000000090912_13729.jpg"/><Relationship Id="rId809" Type="http://schemas.openxmlformats.org/officeDocument/2006/relationships/image" Target="../media/020020000000090891_13730.jpg"/><Relationship Id="rId810" Type="http://schemas.openxmlformats.org/officeDocument/2006/relationships/image" Target="../media/020020000200050051_13731.jpg"/><Relationship Id="rId811" Type="http://schemas.openxmlformats.org/officeDocument/2006/relationships/image" Target="../media/020020000200050052_13732.jpg"/><Relationship Id="rId812" Type="http://schemas.openxmlformats.org/officeDocument/2006/relationships/image" Target="../media/020020000200050053_13733.jpg"/><Relationship Id="rId813" Type="http://schemas.openxmlformats.org/officeDocument/2006/relationships/image" Target="../media/020020000200296440_13734.jpg"/><Relationship Id="rId814" Type="http://schemas.openxmlformats.org/officeDocument/2006/relationships/image" Target="../media/020020000000090881_13735.jpg"/><Relationship Id="rId815" Type="http://schemas.openxmlformats.org/officeDocument/2006/relationships/image" Target="../media/020020000000009206_13736.jpg"/><Relationship Id="rId816" Type="http://schemas.openxmlformats.org/officeDocument/2006/relationships/image" Target="../media/020020000000090434_13737.jpg"/><Relationship Id="rId817" Type="http://schemas.openxmlformats.org/officeDocument/2006/relationships/image" Target="../media/020020000000090437_13738.jpg"/><Relationship Id="rId818" Type="http://schemas.openxmlformats.org/officeDocument/2006/relationships/image" Target="../media/020020000000090490_13739.jpg"/><Relationship Id="rId819" Type="http://schemas.openxmlformats.org/officeDocument/2006/relationships/image" Target="../media/020020000000090317_13740.jpg"/><Relationship Id="rId820" Type="http://schemas.openxmlformats.org/officeDocument/2006/relationships/image" Target="../media/020020000000090255_13741.jpg"/><Relationship Id="rId821" Type="http://schemas.openxmlformats.org/officeDocument/2006/relationships/image" Target="../media/020020000000090132_13742.jpg"/><Relationship Id="rId822" Type="http://schemas.openxmlformats.org/officeDocument/2006/relationships/image" Target="../media/000170007160017511_13743.jpg"/><Relationship Id="rId823" Type="http://schemas.openxmlformats.org/officeDocument/2006/relationships/image" Target="../media/000170007200023011_13744.jpg"/><Relationship Id="rId824" Type="http://schemas.openxmlformats.org/officeDocument/2006/relationships/image" Target="../media/020020000000200002_13745.jpg"/><Relationship Id="rId825" Type="http://schemas.openxmlformats.org/officeDocument/2006/relationships/image" Target="../media/020020000000090128_13746.jpg"/><Relationship Id="rId826" Type="http://schemas.openxmlformats.org/officeDocument/2006/relationships/image" Target="../media/020020000000090252_13747.jpg"/><Relationship Id="rId827" Type="http://schemas.openxmlformats.org/officeDocument/2006/relationships/image" Target="../media/020020000000090686_13748.jpg"/><Relationship Id="rId828" Type="http://schemas.openxmlformats.org/officeDocument/2006/relationships/image" Target="../media/000170006210180410_13749.jpg"/><Relationship Id="rId829" Type="http://schemas.openxmlformats.org/officeDocument/2006/relationships/image" Target="../media/020020000000090802_1375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анометр Navien Ace 30002309A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d14 выход горячей воды Immergas 1.02286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робка подключения" descr="0470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лемма подключения" descr="047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нденсатор 16 Мкф 60161" descr="047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нденсатор 20 Мкф 60201" descr="0470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шипник 201 Мастер-60" descr="0470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шипник 202 Мастер-80/100" descr="0470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льцо пружинное d-31мм" descr="047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альник вала привода СМ-12 для поверхностных насосов Мастер-Лидер и Мастер-Стандарт 12мм" descr="047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альник вала привода СМ-14 для поверхностных насосов Мастер-Лидер и Мастер-Стандарт 14мм" descr="047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альник вала привода СМ-16 для поверхностных насосов Мастер-Лидер и Мастер-Стандарт 16мм" descr="047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Эжектор в сборе Лидер 60/80/100" descr="047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Эжектор в сборе Мастер Стандарт 60/80/100" descr="047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плотельное кольцо эжектора d19 Мастер Стандарт" descr="047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рпус насоса Мастер Стандарт" descr="047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рпус насоса нержавейка Мастер Стандарт" descr="047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рпус насоса Мастер Лидер" descr="0472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Фланец двигателя 60Ч Мастер" descr="047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Фланец двигателя 80/100 Ч Мастер" descr="047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Фланец двигателя Мастер Стандарт 80/100 круглый" descr="0473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Тарелка насоса Мастер 80/100 нержавейка" descr="0473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Ротор Мастер Стандарт/Лидер 60 Ч" descr="0473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Ротор Мастер Стандарт/Лидер 80 Ч" descr="0473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Ротор Мастер Стандарт/Лидер 100 Ч" descr="0473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татор Мастер 60" descr="0474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татор Мастер 80" descr="0474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татор Мастер 100" descr="0474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Рабочее колесо насосной станции Мастер 60" descr="0474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Рабочее колесо насосной станции Мастер 80/100" descr="0474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рышка двигателя задняя Мастер 60" descr="0474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рышка двигателя задняя Мастер 80/100" descr="0474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Вентилятор двигателя Мастер 60" descr="0474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Вентилятор двигателя Мастер 80/100" descr="0474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ышка вентилятора Мастер 60" descr="0475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рышка вентилятора Мастер 80/100" descr="0475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понка рабочего колеса 310041 Мастер" descr="0478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Уплотнительное кольцо фланца Мастер" descr="0478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лосник 22 Дон Конорд" descr="0482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лосник 21Б Дон Конорд" descr="048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Лист топочный Дон КС-31.5" descr="0485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Змеевик на котёл Дон 16-31.5 кВт" descr="0486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ермометр РТМ-63/55 d63 мм" descr="0486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ерморегулятор АГУК-1.5Т  Ду-15" descr="0489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ерморегулятор АГУК-2Т  Ду-20" descr="0489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Запальник КСТГ Дон" descr="0490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Запальник Пламя" descr="0490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Запальник УГОП/АГУК" descr="0490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Ремкомплект механического клапана АГУК/УГОП" descr="0492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ка запальника УГОП-16 L-15см" descr="0492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ка запальника АГУК-1.5 L-16см" descr="0493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Ремкомплект терморегулятора АГУК" descr="0493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лапан отсекатель АГУК-1.5Т" descr="0493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лапан отсекатель УГОП/КСТГ" descr="0493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газовый АГУК/УГОП/КСТГ штуцер-гайка" descr="0493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Сопло силумин АГУК/УГОП" descr="0493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ермометр 45х45" descr="049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Биметаллическая пластина УГОП/АГУК/ДОН" descr="049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Биметаллическая пластина Мимакс" descr="049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Запальник Мимакс" descr="049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Снаряд для горелки АГУ-Т-М Мимакс" descr="049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льцо снаряда горелки АГУ-Т-М Мимакс" descr="049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Мембрана термодатчика Мимакс большая" descr="0496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ермодатчик на Дон АГУ-ТМ-20-55 L1200 3/4&quot;" descr="0496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ермодатчик на Конорд АГУ-ТМ-13 L650 3/4&quot;" descr="0496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Термодатчик на Конорд 23ц/28ц/35ц L700 1&quot;" descr="0497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Термодатчик на Мимакс 7-23 кВт L470" descr="0497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Терморегулятор Дон/АОГВ Ростов-на-Дону" descr="049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Электромагнитный клапан Ростов АОГВ-11.6" descr="049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Термопара АОГВ-11.6/АОГВ-17.4 с 2006 короткая Ростов-на-Дону" descr="0498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Термопара АОГВ-11.6/АОГВ-17.4 до 2006 длинная Ростов-на-Дону" descr="0498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Термопара АОГВ-23 АОГВ-29 Ростов-на-Дону" descr="0498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Термопара АОГВ-35 Ростов-на-Дону" descr="049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ьезокнопка Sit 630" descr="0500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абель розжига Sit L400мм" descr="0500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Искровой электрод пьезо Sit" descr="0500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ьезокнопка 75082 ЖМЗ 031.0362.00" descr="0500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Термометр ВТТ 63х75" descr="0500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абель датчика тяги 336011 ЖМЗ" descr="050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ермодатчик ТФ 2-2 АОГВ-11.6 с 2000г ЖМЗ" descr="0500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Термобаллон-сильфон 364003 с гайкой с 2002г ЖМЗ" descr="0500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ермобаллон-сильфон 301008 с гайкой до 2002г ЖМЗ" descr="0501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ермопара 364006 АОГВ 17-29 до 2003 г ЖМЗ" descr="0501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ермопара 364018 (аналог 364022)АОГВ 17-29 с 2004 г ЖМЗ" descr="0501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ермопара 301059 АОГВ 17-29 до 2002 г ЖМЗ" descr="0501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ермопара 301002 АОГВ 17-23 до 1996 г ЖМЗ" descr="0501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ермопара 390005 АОГВ-11.6 с 2004 г ЖМЗ" descr="0501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ермопара 336006 АОГВ-11.6 до 2004 г ЖМЗ" descr="0501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ермопара 416005 АОГВ 17-29 универсал САБК ЖМЗ" descr="0502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ермопара 376004 АОГВ 17-23 Honeywell до 2002 г ЖМЗ" descr="0502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ерыватель тяги 336004 АОГВ-11.6 ЖМЗ" descr="0502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ерыватель тяги 301020 АОГВ-17-23 ЖМЗ" descr="0502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урбулятор 61501 АОГВ-11.6 ЖМЗ" descr="0502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Турбулятор 61502 АОГВ 17-29 ЖМЗ" descr="0502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Уплотнение штока 301056 ЖМЗ" descr="0503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рокладка 364015 для АОГВ 11-29 с 2004 г ЖМЗ" descr="0503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слонка тягопрерывателя 301024 ЖМЗ" descr="0503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опло ЖМЗ 301055 под сжиженный газ" descr="0503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Термопара 265 мм Арбат М8" descr="0506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ермопара 345 мм Арбат М8" descr="0506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ермопара 355 мм Арбат М8" descr="0506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ермопара 400 мм Sit М9 А3" descr="0506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ермопара 600 мм Арбат М8" descr="0506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ермопара 800 мм Арбат М8" descr="0506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ермопара 900 мм Арбат М8" descr="0507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ермопара 1000 мм Арбат М8" descr="0507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ермопара М8 проводная Боринское" descr="0507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ермопара М9 проводная Боринское" descr="0507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ермопара 700 мм Арбат М9" descr="0507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ермопара 950 мм Арбат М9" descr="0507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Датчик тяги Арбат старый" descr="0507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ильфон L-1000мм с гайкой Арбат" descr="0508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ермометр УТ-120 Мимакс L-500 мм" descr="0508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ермопарный генератор ТГ-4 Q313A 1022В 86527 Honeywell" descr="0508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ДПТЭК Датчик предельной температуры электроконтактный Сигнал" descr="0509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ДТЭК Датчик электроконтактный Сигнал" descr="0509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осник КСТГ Мимакс" descr="0510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ка запальника ЖМЗ 428005 АОГВ 17-23 Универсал" descr="0510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робка магнитная 301013 Универсал ЖМЗ" descr="051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еплообменник ВПГ-18 Астра" descr="0510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еплообменник ВПГ-21 Астра" descr="0510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Водяной блок ВПГ Астра" descr="0510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Мембрана ВПГ Астра" descr="0510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ермопара ВПГ Астра 2-х проводная" descr="0511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еплообменник ВПГ НЕВА-4510 3227-03.000 до 2015г" descr="0517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Микровыключатель ВПГ ВЕСТ" descr="051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Выключатель ВПГ ВЕСТ" descr="051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ЭМК электромагнитный клапан ВПГ ВЕСТ" descr="0518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исплей LCD ВПГ ВЕСТ" descr="0518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исплей LCD ВПГ ВЕСТ NEW" descr="0518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ембрана водяного блока ВПГ 5-12л  ВЕСТ" descr="0518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учка регулировки малая ВПГ ВЕСТ" descr="0518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Жиклер на сжиженный газ ВПГ ВЕСТ" descr="0519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Жиклер на природный газ ВПГ ВЕСТ" descr="0519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еплообменник ВПГ 5-6л ВЕСТ" descr="0519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еплообменник ВПГ 8л ВЕСТ" descr="0519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еплообменник ВПГ 12л ВЕСТ" descr="0519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ВПГ 8л ВЕСТ" descr="0520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ВПГ 10л ВЕСТ" descr="0520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ВПГ 12л ВЕСТ" descr="0520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азовый блок ВПГ 8л ВЕСТ" descr="0521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азовый блок ВПГ 10л ВЕСТ" descr="0521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азовый блок ВПГ 12л ВЕСТ" descr="0521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азовый блок ВПГ 14л ВЕСТ" descr="0521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азовый блок ВПГ 16л ВЕСТ" descr="0521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Мембрана клапана Мимакс" descr="0523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Блок терморегулятора 364008 ЖМЗ" descr="05233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рубка запальника ЖМЗ 431005 АОГВ-11.6 Универсал" descr="0524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Тарелка диафрагмы ВПГ 10-12л ВЕСТ" descr="052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Электромагнитный клапан Арбат, Орион c 2007г d-14" descr="0524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Трубка запальника ЖМЗ 364021 АОГВ 17-29 Эконом с 2011 г" descr="0527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Электромагнитный клапан Арбат/Орион до 2007г d-16" descr="0530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Термопара 375009 АОГВ 17-23 Honeywell 2004 г ЖМЗ" descr="0566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Термопара 381008 АОГВ-11.6 Honeywell c 2004 г ЖМЗ" descr="05666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ермопара 378003 АОГВ 43-50 с 2003 г ЖМЗ" descr="0566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икровыключатель ВПГ НЕВА 4510/4511 3227-02.330" descr="0762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ЭН для электроплиты 1000 Вт 701004" descr="0777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Ротор Мастер Стандарт 80-Н" descr="0799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Ротор Мастер Стандарт 100-Н" descr="0799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льцо d2.8х1.8 газоводяного штока ВПГ НЕВА" descr="0818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Ремкомплект ВПГ-18 ВПГ-20 ВПГ-23 Нева 3208" descr="0822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Ремкомплект ВПГ Астра 8910-10 с 2002г" descr="0822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нфорка ЭКЧ 1000 Вт D-145 с нержавеющим ободом 614510" descr="0880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Термопара 320 мм Sit М9 А1" descr="0885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ермопрерыватель Sit 0.974.402" descr="0888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ермопара 431004 АОГВ-11.6 Sit ЖМЗ" descr="0893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ермопара 428004 АОГВ 17-23 Sit ЖМЗ" descr="0893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ермопара 600 мм Sit М9 А1" descr="0897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ка запальника Пламя-20 L-200мм" descr="0897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Электрод 83488 ЖМЗ" descr="0921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Датчик NTC ГВС накладной Immergas 1.025380 аналог 1.028395" descr="0954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лата управления Nike/Eolo Star Immergas 1.025378" descr="0954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Плата управления Mini Nike/Eolo 24 3E/X Immergas 1.034271 аналог 1.027737" descr="0954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ермостат 100*С Nike/Eolo Star/Mythos Immergas 1.025797" descr="0954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еплообменник ВПГ 16л ВЕСТ" descr="0980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Электрод контроля пламени горелки ВПГ ВЕСТ" descr="0980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Сальник штока водяного блока ВПГ ВЕСТ d5мм" descr="0981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едельный термостат Crono-7 проводной Immergas 3.021622" descr="0982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ульт дистанционного управления CAR V2 Immergas 3.021395" descr="0983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Термометр БТ-51/70 Росма d100мм" descr="0996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Термометр БТ-30 d63мм скоба" descr="09962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Водяной блок НЕВА 4510,4511,VilTerm 3227-02.270/1101-08.310" descr="1004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лата управления Nike/EOLO Star 23 Immergas 1.023947" descr="1018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Термостат комнатный Immergas 3.012287" descr="1026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Электромагнитный клапан TGV" descr="1033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лосник КСТ-12.5 Мозырь" descr="1045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Ремкомплект водяного блока КГИ-56" descr="1131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лата управления Nike/Eolo Mini 24/28 Immergas 1.024038" descr="113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ран подпитки Nike/Eolo Star 24 3E, Mini Nike/Eolo 24/28 Immergas 3.018806" descr="1139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Ремкомплект трехходового клапана Mini Nike/Eolo Immergas 3.013125" descr="1139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опло латунное АГУК/УГОП" descr="1143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нопка КМ 1-1 малогабаритная 88074 ЖМЗ" descr="1147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Термостат регулируемый TR-2 540355 Sit 820 Nova" descr="1147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ембрана 301028 ЖМЗ" descr="116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Мембрана ВПГ НЕВА 4510/4511 3227-02.278 до 2014г d76мм" descr="11774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рокладка 301021 для АОГВ-11.6 ЖМЗ" descr="1286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лапан 3-х ходовой Navien 30015423A" descr="1313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Датчик по перегреву Navien Deluxe 13-30 30002564A" descr="1313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ентилятор Navien Асе 30-35, Асе Coaxial 13-30 30005562C" descr="1313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анометр Navien Deluxe 30002308C" descr="1313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ентилятор Eolo Star 24 3E Immergas 1.044632 аналог 1.025794" descr="132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Циркуляционный насос Navien Deluxe 13-40К 3000469B" descr="13396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Расширительный бак Navien Coaxial 13-30К 30003945G" descr="13397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еплообменник Navien Deluxe/ACE 30К 30012860C" descr="13398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Датчик протока отопления Navien 13-40 30002724C" descr="1339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Электроды розжига в сборе Navien АСЕ 13-30К 30003875C" descr="1340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Датчик протока ГВС Mini Eolo/Nike 24/28 Immergas 1.023514" descr="1349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Газовый клапан Navien АСЕ 30002197A" descr="1355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ллектор для сжиженного газа Navien Deluxe,Ace 13-24К Coaxial 30014731B" descr="1367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Блок ТЭНов 6кВт для Мимакс Титан" descr="1396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Трубка запальника ЖМЗ 381007 АОГВ-11.6 Комфорт с 2004 г" descr="1408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Датчик температуры ГВС Navien 13-40 30002643A" descr="1414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Датчик давления воздуха Navien ACE,Deluxe Coaxial 30000660B" descr="14193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рансформатор розжига Deluxe Navien 30002474D" descr="1443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Ротор Мастер Стандарт 60-Н" descr="14442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еплообменник ГВС Navien Асе 24К, АТМО 20-24А 30004997A" descr="1577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Трубка запальника 20см газоподвод Мимакс" descr="1589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ульт дистанционного управления NR-30S Navien Prime 30012968A" descr="1614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Воздухоотводчик насоса Navien 30014451A" descr="16209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Расширительный бак Navien AТМО 13-24А 30003960A" descr="1640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эн 1,2 кВт сухой 201504" descr="1655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эн прижимной 1,5 кВт М5 RCA длинная клемма 30716" descr="16559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эн прижимной 1,5 кВт М6 RCF короткая клемма 30461" descr="1656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Тэн прижимной 2,0 кВт М5 RCA длинная клемма 20026" descr="1656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Тэн прижимной 2,0 кВт М6 RCF кототкая клема 30271" descr="1656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Тэн RF64 0.7 кВт М4 Термекс 20046" descr="16569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Тэн RF64 0.7 кВт М4 с анодом Термекс 20086" descr="16570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Тэн RF64 1,3 кВт М4 Термекс 20047" descr="1657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Тэн RF64 1,3 кВт М4 с анодом Термекс 20087" descr="1657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Тэн RF64 2,0 кВт М4 Термекс 20116" descr="1657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Тэн RF64 двойной 0.7+1.3 кВт М4 Термекс 20042" descr="1657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Тэн RF82 1,5 кВт М6 10-15л Термекс 10182" descr="1657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Тэн RF82 1,5 кВт М6 30-150л Термекс 20079" descr="1657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Тэн резьбовой 1,2 кВт с термостатом RDT С50305" descr="1657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Тэн резьбовой 1.5 кВт с термостатом RDT С50301" descr="1658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Тэн резьбовой 1.5 кВт М6 RDT 30291" descr="1658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Тэн резьбовой 2.0 кВт с термостатом RDT С50302" descr="1658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Тэн резьбовой 2.0 кВт М6 RDT 30220" descr="1659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эн резьбовой 2.5 кВт М6 RDT 30248" descr="1659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эн резьбовой 3.0 кВт М6 RDT 30246" descr="1659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рокладка для резьбового ТЭНа RDT 819992" descr="1659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рокладка для фланцевого ТЭНа RСА/RCF 180715" descr="1659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рокладка для фланцевого ТЭНа RF62х17.5мм Термекс 66155" descr="1659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рокладка для фланцевого ТЭНа RF82 Термекс 66162" descr="1659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Прокладка для корпуса сухого ТЭНа 66818" descr="16599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лапан предохранительный для водонагревателя 6 бар 100506" descr="1660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Клапан предохранительный для водонагревателя 8 бар 100508" descr="1660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Термостат стержневой 15 A 80*С 200820" descr="1660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Термостат регулируемый внешний 77*С 100311" descr="1660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Термостат защитный 105*С 100310" descr="1660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Анод магниевый L100 D18 M6x180 100401" descr="1660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Анод магниевый L120 D16 M6x10 100405" descr="1660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Анод магниевый L140 D14 M4x20 100403" descr="1660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Анод магниевый L200 D18 M6x180 100402" descr="1660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Анод магниевый L210 D22 M6x10 100407" descr="1661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Анод магниевый L230 D22 M5x10 100408" descr="1661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рпус сухого ТЭНа 482979N" descr="1661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ульт дистанционного управления NR-15S Navien Deluxe/АСЕ 30012601D" descr="1670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Анод магниевый L110 D21 M5x10 100411" descr="1671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еплообменник ГВС Navien Deluxe 13-20 30004993A" descr="16798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еплообменник ГВС Navien Deluxe-24, Асе 13-20 30004995A" descr="1679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еплообменник ГВС Navien Deluxe-30, Асе-30 30005005A" descr="16800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еплообменник ГВС Navien Deluxe-35K 30005008A" descr="16801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амера сгорания Navien Deluxe 13-24K 30003351G" descr="16802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Фильтр для очистки воды сетчатый грязевик Navien Deluxe 30002514B" descr="16803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Вентилятор Navien Deluxe 13-24К 30012680A" descr="16804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еплообменник первичный Navien Deluxe АТМО 13-16A 30004896A" descr="1690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Теплообменник первичный Navien Deluxe АТМО 20-24A 30004894A" descr="1690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Мембрана ВПГ НЕВА 4510М силикон 4510-02.251" descr="16929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блок ВПГ НЕВА 4510/4510Р 4710-60.000" descr="16930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Тэн RF64 1,5 кВт М6 10-15л Термекс 10077" descr="1695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Трансформатор розжига Navien GA/GST 30004360B" descr="1701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лапан сбросной предохранительный Navien Deluxe Coaxial, Deluxe S/C 30002251A" descr="17108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Ремкомплект ВПГ НЕВА-5611/5514 3224-71.00" descr="1711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Датчик контроля тяги Navien ATMO 13-24А 30002653A" descr="1719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Датчик температуры ОВ Navien GA 11-35 30002612A" descr="17196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лапан автоматический предохранительный 3бар Navien ACЕ 30002244A" descr="17199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Тэн 1,0 кВт сухой 201503" descr="1723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Блок управления ВПГ НЕВА-4508,4510М,4511 3272-16.000" descr="17423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Сильфон TGV 307" descr="1765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атчик температуры ОВ Navien Deluxe,ACE 13-40К 30002644A" descr="1782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Прокладка для Аристон 5 болтов 75мм 571312" descr="1783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Диафрагма клапана 301022 ЖМЗ" descr="18010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Шнур сетевой для водонагревателя с УЗО 230В 66598" descr="18013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Термопара АОГВ DANI" descr="1804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Фитинг контура отопления угловой Navien Coaxial 20007871B" descr="18064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Горелка пилотная 0.160.114" descr="1820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Горелка пилотная 0.160.027" descr="1820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Датчик перегрева 65*С таблетка" descr="1820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Теплообменник КСГ-16 Sit Мимакс" descr="18322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Прокладка адаптера ГВС Navien 20006852A" descr="18328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рокладка адаптера подачи/обратки отопления Navien 20006856A" descr="18329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рокладка циркуляционного насоса Navien 20006859A" descr="1833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рокладка предохранительного клапана Navien 20007013A" descr="18331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рокладка крана подпитки Navien 20018241B" descr="18332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Прокладка циркуляционного насоса Navien 20006996A" descr="18333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Проклaдка трубки подпитки Navien 20006963A" descr="1833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рокладка газовой трубки Navien 20006929A" descr="1833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рокладка гидроузла Navien 20007019A" descr="1833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рокладка фильтра горячей воды Navien 20007016A" descr="1833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рокладка выходного адаптера теплообменника Navien 20007004А аналог 20007003А" descr="1833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рокладка воздухоотводчика Navien 20007018А" descr="1833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рокладка адаптера теплообменника Navien 20006994A" descr="18340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льцо уплотнительное патрубка контура ОВ Navien 20006954А" descr="18342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льцо уплотнительное Navien 20028943А" descr="1834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льцо уплотнительное Navien 20024806А" descr="18345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рокладка датчика протока Navien 20007006А" descr="18346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льцо уплотнительное впускного патрубка газового клапана Navien 20006936А" descr="18347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льцо уплотнительное адаптера входа газовой трубки Navien 20006935А" descr="18348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льцо уплотнительное Navien 20011380А" descr="18349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льцо уплотнительное Navien 20021353А аналог 20007007" descr="18350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Прокладка трубы подачи холодной/горячей воды Navien 20007014А" descr="1835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Прокладка датчика температуры ГВС Navien 20007008А" descr="1835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льцо уплотнительное для кронштейна манометра Navien 20007005А" descr="1835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Газовый клапан Navien Deluxe 30010310B" descr="1845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бка для насоса Navien 30003551C" descr="18461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Тэн 0,8 кВт сухой 201501" descr="18465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Тэн для стиральной машины 1700W прямой с отверстием L-169,R-13,M-120 3406054" descr="18466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эн для стиральной машины 1900W прямой L-175,R-13,M-120 3406117" descr="18467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эн для стиральной машины 2000W прямой с отверстием L-202,R-12,M-140 3406115" descr="1846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эн для стиральной машины 1950W прямой с отверстием L-203,R-13,М-110 3406145" descr="18469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Теплообменник ВПГ-10 Мастер 2016г" descr="1854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Дисплей LCD ВПГ-10 Мастер 2016г" descr="1855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амера сгорания Navien Deluxe 30К 30003352G" descr="1858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эн для стиральной машины 1750W прямой L-154,R-9,M-119 815300" descr="1860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эн для стиральной машины 1900W прямой с датчиком L-185,R-12,M-131 3406111" descr="18609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ембрана водяного блока ВПГ-23 Нева" descr="1862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Электроды розжига GA 11-17K(N) Navien 20010582A" descr="1873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ллектор дымовых газов Navien Deluxe.ACE 13-24К 30003863A" descr="1879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Турбулизатор АОГВ Siberia Ростов 2210-012" descr="19034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Вентилятор Navien АСЕ-40К 30007950A" descr="1904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Теплообменник НЕВА-4511/5611/VilTerm S11/ 1101-07.000" descr="1906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Блок управления ВПГ НЕВА DHS-16B5 4508/4510/4510М до 04.2017г" descr="1906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амера сгорания Navien 35-40 Deluxe/Aсе 30003354G" descr="1908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Селектор ВПГ НЕВА-4511 ЗИП 4211-02.200-01 с 2017г" descr="19283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Заглушка ВПГ НЕВА-4511 ЗИП 4211-02.200-02 с 2017г" descr="192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Блок управления Navien Deluxe 30-40К плата 30013767E" descr="19435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Ремкомплект ВПГ НЕВА-4510" descr="19453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Микровыключатель ВПГ НЕВА 4510М 3227-02.330-01" descr="19471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убка запальника Sit М10 L300 D4 медь" descr="1955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убка запальника ЖМЗ КОВ-СГ-43/50 Эконом 378010 с 2013г" descr="1964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Прокладка для ТЭНа RCA/RCF 121мм 5 болтов 65151710" descr="1967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эн VLS 1,5 кВт М5 D75/125 151227" descr="19676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еплообменник ВПГ-10Е Ладогаз" descr="19679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еплообменник ВПГ-11PL-01 Ладогаз" descr="19680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еплообменник ВПГ-11ED-01 Ладогаз" descr="1968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Блок управления ВПГ-10Е Ладогаз" descr="1968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Блок управления ВПГ-11Pl Ладогаз" descr="19683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Входная труба горячей воды №1 Navien 30003659C" descr="19726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Электроды розжига GA 30-35 Navien 20010581A" descr="19727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Электроды розжига GA 20-23 Navien 20010584A" descr="19728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Предохранитель Navien Аce/Coaxial 13-30 20006665A" descr="19746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Труба подачи отопления №1 Navien 20007845B" descr="19901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лок управления Navien Deluxe 13-24К плата 30013766F" descr="20072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Мембрана ВПГ-8А/10Е Ладогаз" descr="20126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Мембрана ВПГ-10А/11PL-01/11ЕD Ладогаз резина" descr="20127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льцо уплотнительное d 14*10*3 ВПГ Ладогаз" descr="20128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льцо уплотнительное d 5*2*1.8 ВПГ Ладогаз" descr="20129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Датчик давления воздуха маностат Navien GA 11-35, GST 35-40 30004407B" descr="20249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Ручка регулировки газового клапана TGV" descr="2025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Датчик протока ВПГ-11PL Ладогаз" descr="203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нфорка ЭКЧ 1500 Вт D-180 с нержавеющим ободом 818015" descr="20342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Горелка пилотная 0.190.674" descr="2035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Трубка запальника 10см газоподвод Мимакс" descr="20404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Горелка пилотная Polidoro" descr="20420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рышка камеры сгорания Navien Deluxe 13-24К 30003338D" descr="20494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Блок управления Navien GA 17-35 плата 30000161C" descr="20709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Труба подачи отопления №2 Navien 20007847B" descr="20710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Входная труба горячей воды №2 Navien 30003672B" descr="2071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Патрубок контура ОВ проходной вход Navien 20007867B" descr="2071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Патрубок-адаптер ГВС Navien Deluxe.ACE 30003673E" descr="2071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Патрубок выхода ГВС Navien 30003628F" descr="2071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эн для стиральной машины 1950W прямой L-180,R-13,M-135 3406107" descr="20762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еплообменник НЕВА-4510М/VilTerm S10 1102-07.000" descr="2081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Теплообменник НЕВА-4513М/5514/VilTerm S13 1103-07.000" descr="2091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Датчик температуры воды ВПГ Ладогаз" descr="21008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еплообменник ВПГ-11PL Ладогаз" descr="2100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Термопара 700 мм Арбат М8" descr="21519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Дисплей ВПГ-10Е/11PL Ладогаз" descr="2152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Игла розжига ВПГ-10Е Ладогаз короткая" descr="21525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Игла розжига ВПГ-11PL Ладогаз длинная" descr="21527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Микровыключатель ВПГ Ладогаз" descr="21528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лапан электромагнитный ВПГ Ладогаз" descr="21529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ЭН для электроплиты 1200 Вт 701194" descr="21563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эн RNSA PA 1,5 кВт М4 овальный фланец 64*90мм 3766" descr="2156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Прокладка термоизоляционная под камеру сгорания Navien АСЕ 13-24K 20023124A" descr="2156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Горелка газовая в сборе Navien 13-24 30003231A" descr="2161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льцо уплотнительное d 6,3*2,5*1,9 ВПГ Ладогаз" descr="21777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Дефлектор GA 20-23 Navien 30004713B" descr="2179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Дефлектор GST 35-60 Navien 30004715A" descr="2179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еплообменник ВПГ-11ЕD Ладогаз" descr="21849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Трубка запальника Sit M10 L300 D6 медь" descr="21938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Мембрана ВПГ Нева-4513М/Baltgaz Comfort 4211-02.331" descr="2214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Патрубок-адаптер контура ОВ вход Navien AСЕ 20007850A" descr="22153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Патрубок-адаптер контура ГВС выход Navien Deluxe AСЕ 20007751A" descr="22154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абель розжига Sit L600мм" descr="2216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Гидроузел датчика протока с краном подпитки Navien Deluxe АСЕ 13-24K,АТМО 13-24А 30011226A" descr="22175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Газовый клапан GA 11-35K,GST 35-40K 30007717A" descr="22176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Электроды розжига в сборе Deluxe Navien 30003880D" descr="2223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ллектор дымовых газов Navien Deluxe 30К 30003864A" descr="2230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убка запальника Кебер УГ-Х-3-20 L-28см ТС17-10.00.000-04" descr="223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ка запальника Кебер УГ-Х-3-54 L-20см ТС17-10.00.000-08" descr="223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Горелка пилотная Кебер ТС15-02.00.000-01 УГ-*-3-20" descr="2232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Форсунка на дизтопливо LFA/LST 40 Navien 20010494A" descr="2233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Рассекатель дымовых газов GST-35-40,LST 30-40 Navien 20007303B" descr="2234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Датчик пламени фотоэлемент LFA/LST-40 Navien 30004394B" descr="2234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Вентилятор Navien Ace 13-24K 30005567A" descr="22343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ллектор для сжиженного газа АТМО 13-16 Navien 30008388A" descr="2234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Мотор вентилятора GA 11-17 К(N) Navien 30005551A" descr="224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Мотор вентилятора GA 23-35 K(N) Navien 30005548A" descr="224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Горелка пилотная Пламя ТС15-02.00.000-03" descr="2247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Водяной блок ВПГ Астра анодированный" descr="2248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Сервопривод Immergas 1.028572" descr="2254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ллектор дымовых газов 35-40 Navien Deluxe AСЕ 30003865A" descr="2269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рокладка термоизоляционная под камеру сгорания ACE 30К Navien 20023125A" descr="2269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Газоводяной узел ВПГ-10Е Ладогаз" descr="2276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Газоводяной узел ВПГ 11PL-01 ВПГ 11ED-01 Ладогаз" descr="22769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ермопара 400 мм Sit М9 А1" descr="2283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еплообменник ВПГ НЕВА-4510 4110-07.000-01 с 2017г" descr="2293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эн RF92 двойной 2.0кВт 0.7+1.3кВт М6 RZL D92мм 10941G10" descr="2303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Прокладка для ТЭНа RF87 66148" descr="2303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эн для стиральной машины 850W с датчиком U-образный L-150, R-15 340607" descr="2354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рышка камеры сгорания Navien ACE 30К 30003339D" descr="2366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рышка камеры сгорания Navien 35-40К 30003349С" descr="2366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Датчик уровня ОВ Navien GA 11-35 GST 35-60 30002661A" descr="2377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Газовый клапан Арбат" descr="2377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Газовый клапан TGV 307" descr="2391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Газовый клапан EUROSIT 0.630" descr="2391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Газовый клапан MINISIT 0.710" descr="2391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Газовый клапан SIT 820.332 NOVA" descr="2391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Теплообменник ВПГ 10л ВЕСТ" descr="2393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Газоводяной узел ВПГ 10А/11ЕD Ладогаз" descr="2407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Электроды розжига Navien Deluxe S 13-35К 30020261A" descr="24279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Блок управления плата Navien Deluxe-S/C/Е 13-24K 30020390С" descr="244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абель соединительный термопрерывателя и датчика тяги L1000мм" descr="2456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Зажим трубный &quot;Н&quot; Navien 20007878A" descr="24785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Прокладка термоизоляционная под камеру сгорания Navien ACE 35K 20023126A" descr="2481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Термопара Лемакс 0.270.017" descr="2483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Датчик перегрева таблетка Navien Deluxe 35-40К 30013082A" descr="24847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ермометр накладной с пружиной" descr="24860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ермопара 375014 АОГВ 17-23 Комфорт с 2010 г ЖМЗ" descr="2492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ермопара АОГВ-80  Ростов-на-Дону" descr="24924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Насос топливный плунжерный LFA/LST 13-17К Navien 30004238B" descr="24935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Блок управления плата EQB 08-24 HW Navien 30017337A" descr="24973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Термопара 600 мм Sit М9 А3" descr="2499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Зажим трубный &quot;G&quot; Navien 20007868А" descr="2503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Клапан 3-х ходовой Navien Deluxe S/ONE 30020637А" descr="2503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Бак расширительный Navien Deluxe EQB/S/C/E/ONE 13-24K 30020196B" descr="2503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Воздухоотводчик Navien Deluxe S/С 30015225A" descr="2504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Термометр биметаллический L50 ТБП-63 120*С осевой" descr="25068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Датчик NTC отопления накладной Nike/Eolo Star Immergas 3.031650 аналог 1.028394" descr="2539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Датчик NTC отопления накладной Nike/Eolo Mythos 24 3R Immergas 1.035177" descr="2539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Расширительный бак 6л Immergas 1.036267 аналог 1.015138" descr="2539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Плата управления Eolo Mythos Immergas 1.040030" descr="25395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Конфорка ЭКЧ 2000 Вт D-220 с нержавеющим ободом 722020" descr="25400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Прессостат дымоудаления Immergas 1.012849" descr="25402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Теплообменник битермический Nike/Eolo Star 24 3E Immergas 1.024398" descr="25403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еплообменник первичный Nike/Eolo Mythos 79 ламелей Immergas 1.035442" descr="25404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еплообменник ГВС 12 пластин Nike/Eolo Mythos Immergas 3.021692 аналог 1.031610/1.028657" descr="25405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еплообменник ГВС 20 пластин Nike/Eolo Maior 24-32 Immergas 3.015360" descr="25406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Дефлектор LST 40К Navien 30004690A" descr="25615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Прокладка на овальный фланец ТЭНа RCA D48 83х115мм 56861" descr="2569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убка запальника Sit М10 L600 D6 медь" descr="25706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ка запальника Sit М10 L600 D6 алюминий" descr="25721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Пульт дистанционного управления NR-40D Navien" descr="25769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Вентилятор Immergas 1.018778" descr="25791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Кран подпитки Navien Deluxe S 13-35K 30020635А" descr="25827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Теплообменник первичный Navien Deluxe S/C/One 13-24K 30020388А" descr="25828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Теплообменник ГВС Navien Deluxe S 13-24К 30017721A" descr="25829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Теплообменник ГВС Navien Deluxe S 35K 30018296А" descr="25830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Нагреватель ТЭН для электрокотлов Navien серии EQB-08HW/EQB-15HW 30018080A" descr="25831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Блок управления ВПГ-11ED-01,11PL-01,14FD Ладогаз" descr="25912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Нагреватель ТЭН для электрокотлов Navien серии EQB-12HW 30018079В" descr="26021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Циркуляционный насос Navien Deluxe C/E 13-35K 30022723B" descr="26023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еплообменник первичный Navien Deluxe S/C 35K 30020498A" descr="26024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Циркуляционный насос EQB 8-24HW Navien 30017758А" descr="26025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Датчик температуры ГВС Deluxe S/C Navien 30015178A" descr="26026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Датчик температуры ОВ Deluxe S/C Navien 30010295A" descr="26028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Манометр Deluxe S/C Navien 30020258A" descr="26029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Вентилятор Navien Deluxe S/C 13-24K 30021105A" descr="26033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Блок управления плата Navien Deluxe S/C 35K 30021004A" descr="26034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Трансформатор розжига Navien Deluxe S/C/E/ONE 30021167А" descr="2603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Зажим трубный &quot;D&quot; Navien 20007835A" descr="26037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Зажим трубный &quot;А&quot; Navien 20007858А" descr="26038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Шланг расширительного бака Navien Deluxe, Аce, Соаxial 30003134A" descr="2603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Теплообменник первичный Navien Deluxe/Aсе/Prime 35-40K 30012862C" descr="26314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Передняя крышка камеры сгорания Navien АТМО 20-24 30003397A" descr="26315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Плата управления Ferroli Fortuna/Vitabel 46562200" descr="2633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Плата управления Ferroli Divabel 46562640" descr="26336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Теплообменник ГВС Ferroli Fortuna 902603280" descr="2637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Датчик температуры ГВС Fortuna Ferroli 46360340" descr="2637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Датчик температуры отопления Fortuna/Divabel Ferroli 46360330" descr="2637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Датчик давления воды Fortuna/Divabel Ferroli 46160200" descr="2637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Датчик протока Fortuna Ferroli 398000270" descr="2637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Датчик ГВС погружной Divabel Fortuna 46360360" descr="2638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Газовый клапан Fortuna/Divabel Ferroli 46562030" descr="26382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Сервопривод 3-х ходового клапана Ferroli 46660080" descr="26385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Прессостат датчик давления Ferroli 46160390" descr="26386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Манометр Ferroli Fortuna/Divabel 46360350" descr="26387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Клапан защитный сбросной Ferroli 39404720" descr="2641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ермостат 100*С Ferroli 46360930" descr="26412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Корпус 3-х ходового клапана Ferroli 902610740" descr="26414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Гидроузел входа воды Ferroli 902610840" descr="26416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Электрод розжига Ferroli 46360140" descr="2641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Ремкомплект гидрогруппы Ferroli 902609150" descr="26418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Вентилятор Ferroli 90261480" descr="26419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Пьезокнопка TGV" descr="26574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Вентилятор Immergas 1.029520" descr="26706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Tеплообменник первичный Navien Deluxe,Prime,Smart Tok 13-24К 30012859C" descr="26742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Патрубок-адаптер соединительный газовый Navien 30003625B" descr="2674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Ремкомплект НЕВА 4511,4513М с 2017г" descr="26783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Пульт дистанционного управления Mini CRD Immergas 3.020167" descr="26789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Теплообменник НЕВА-4510 114510-07.000-01 с 2020г" descr="26804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Блок управления ВПГ НЕВА-4511Е,5514М,5514Е 114511-16.000" descr="26805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Датчик протока НЕВА-4511Е/5514Е/5514М 114511-18.000" descr="26806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Модуль связи ВСМ-W35 Navien" descr="26838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Теплообменник ГВС Deluxe C 30К Navien 30013798A" descr="26840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Теплообменник ГВС Deluxe C 13-24K Navien 30013792A" descr="2684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Датчик давления Deluxe S/C/Е 13-35K,EQB Navien 30014860A" descr="26842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Датчик давления воздуха Deluxe S/C/E/ONE Navien 30021100A" descr="26843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Вентилятор Deluxe S/C 35-40K Navien 30021106A" descr="26844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Коллектор для сжиженного газа Deluxe S/C/ONE 13-24K Navien 30021531A" descr="26845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Коллектор для сжиженного газа Deluxe S/C/ONE 30,35,40K Navien 30021532A" descr="26847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Коллектор для сжиженного газа АТМО 20-24 Navien 30008389A" descr="26848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амера сгорания Deluxe S/C/ONE 13-24K Navien 30020328A" descr="26849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Мембрана ВПГ Нева 4510/4511 3227-02.278-01 с 2015г d72мм" descr="26858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Пульт дистанционного управления NR-15SW Navien Deluxe S/C/Е 13-35K 30021088A" descr="26862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абель розжига 74935  L800 ЖМЗ" descr="26872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Термопара Q335C1023B Honeywell 94054 ЖМЗ" descr="26874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Газовый клапан Navien Deluxe S/C, Prime, SmartTok 30010588B" descr="26899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Датчик температуры ОВ Navien GST 49-60KR LST 50-60 30002611A" descr="26973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Тэн для сауны Harvia Vega 1500Вт 224-ZSB" descr="27212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Ремкомплект ВПГ НЕВА 4510М/4511/4513 ВГУ ЗИП 4211-02.200 с 2017г" descr="27216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Циркуляционный насос Fortuna/Divabel Ferroli 902614160" descr="27238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еплообменник ВПГ-14 FD Ладогаз" descr="27403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Манометр АСЕ/DELUXE/Prime/SmartTok Navien 30013530A" descr="27604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Блок управления ВПГ VilTerm 1101-08.100" descr="2763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Газовый клапан Honeywell Ferroli 39826240" descr="27690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Горелка пилотная 0.160.103" descr="27739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Тэн 2.5кВт двойной 1.0+1.5кВт М5 с клеммами под разъем L265мм 150909" descr="27752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Прокладка на овальный фланец ТЭНа RCA 80х110мм 66110" descr="27753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Контргайка никелированная для резьбового ТЭНа RDT Ду-32 с ребордой Valtec" descr="27828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Фитинг контура отопления угловой АТМО Navien 13-24А 20007900B" descr="27830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Блок управления Navien LFA/LST 13-60 Navien плата 30013899B" descr="27831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Датчик пламени фотоэлемент LFA/LST 13-30 Navien 3004398B" descr="27992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Датчик температуры для бойлера KIT Sonda Ferroli 38324090" descr="28035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Датчик температуры KIT Sonda Ferroli 39400560" descr="28036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Термостат комнатный Ferroli HRT177WS" descr="28040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Хронотермостат Ferroli Connect Smart 013011XA" descr="28042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Датчик уличной температуры Ferroli 013018X0" descr="28043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Ремкомплект 3-х ходового клапана Immergas 3.017141" descr="28044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Прокладка 3/4&quot; Immergas 3.025955 аналог 1.023992" descr="28045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Прокладка 3/8&quot; Immergas 3.А1124 аналог 1.023993" descr="2804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Прокладка 13,1х2,62мм Immergas 3.018194" descr="2804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Прокладка 2,9х1,78мм Immergas 3.018193" descr="2804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Прокладка 21,89х2,62мм Immergas 3.018191" descr="2804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Прокладка 2,84х2,62мм Immergas 3.018192" descr="2805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Прокладка 17,86х2,62мм Immergas 3.018189" descr="2805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Прокладка 13,95х2,62мм Immergas 3.018187" descr="2805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Прокладка 5,50х2мм Immergas 3.018188" descr="2805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Прокладка 1/2&quot; Immergas 3.А1363" descr="28054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Прокладка 6,75х1,78мм Immergas 3.018190" descr="28055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Прокладка 15,54х2,62мм Immergas 3.016055" descr="28056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Кольцо уплотнительное 7,6х2,62мм Immergas 3.016090" descr="28057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Прокладка 34,0х3,0мм Immergas 3.016096" descr="28070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Плата управления Maior Eolo 24/28/32 4E Immergas 1.045364 аналог 1.028173" descr="28224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Геркон Deluxe S 13-35K Navien 30010399A" descr="28256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Теплообменник ГВС Navien Deluxe/ACE 40K 30005013A" descr="2836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Жгут кабельный в сборе с коннекторами ATMO Navien 30003022B" descr="2836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Блок управления ВПГ НЕВА-4510 114510-16.000" descr="2838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Контргайка латунная для резьбового ТЭНа RDT Ду-32 с ребордой" descr="28483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Фильтр топливный LST 13-40K Navien 30004377D" descr="28526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Гильза медная для котла 1/2&quot;" descr="28549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Термопара универсальная ЖМЗ 950мм с гайкой" descr="28614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убка запальника Sit M10 L600 D4 медь" descr="28642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Трубка запальника Sit M10 L400 D4 медь" descr="28643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Трубка запальника Sit M10 L300 D6 алюминий" descr="28644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Картридж блока выхода в сборе Immergas 3.020380" descr="28646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Тэн RF92 прижимной 1.5 кВт М6 10081" descr="28686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Ремкомплект горелки АГУ-Т-М Мимакс" descr="2870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Термопара 1000мм  Sit M9 A1" descr="2870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Электрод розжига Immergas 3.021021" descr="28751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Уплотнительное кольцо ЭМК ВЕСТ d31мм" descr="28794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Уплотнительное кольцо датчика температуры ВЕСТ d10мм" descr="28795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Датчик температуры ОВ Navien LST 13-40K 30002642A" descr="28817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Насос топливный плунжерный LST/LFA 40К Navien 30004236B" descr="28818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Водяной блок НЕВА 4311-60.000 универсальный" descr="28832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Электроды розжига LFA/LST 40 Navien 20010602A" descr="28833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Трансформатор розжга LFA/LST 13-40 Navien 3004374С" descr="28834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Кран подпитки Nike Mini 28 Special Immergas 3.019793 аналог 3.016699" descr="28885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Термостат накладной 65*С Immergas 1.011928" descr="28886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Расширительный бак 7,5 л Immergas 1.023743" descr="28888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Электрод розжига левый Nike Mini 28 Immergas 1.025665 аналог 1.2405" descr="28889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Электрод розжига правый Nike Mini 28 Immergas 1.025666 аналог 1.2408" descr="28890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Горелка 14 линий Nike Mini 28 Special Immergas 1.019850" descr="28891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Труба d18 теплообменник-гидравлическая группа Nike Mini28 Special Immergas 1.021339" descr="28892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Воздухоотводчик Immergas 1.022102" descr="28893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Датчик NTC погружной Immergas 3.016099 аналог 1.021762" descr="28894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Труба d10 входной коллектор холодной воды-расширительный бак Nike Mini 28 Special Immergas 1.023402" descr="28895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Манометр Immergas 1.021908" descr="28896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Труба d18 газовый клапан-распределитель Nike Mini 28 Special Immergas 1.022408" descr="28897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Термостат накладной 80-105*С Immergas 1.019147" descr="28898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Труба d18 теплообменник-гидравлическая группа Immergas Mini Nike 28 Special 1.022407" descr="28899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Газовый клапан Sit 845 со штекером Immergas 1.014365" descr="28900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Теплообменник первичный 98 ламелей Immergas 1.019007" descr="28901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Теплообменник ГВС 16 пластин Nike Mini 28 Special Immergas 1.022221" descr="28903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Сервопривод 3-ходового клапана фланцевый Nike Mini 24/28 Immergas 1.018064" descr="28904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Клапан 3-х ходовой Nike Mini 28 Special Immergas 3.016701" descr="28906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Плата управления Nike Mini 28 Special Immergas 1.025995" descr="28908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лапан сбросной 3бар Immergas 1.022306" descr="28909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оллектор для природного газа 14 сопел G20 Immergas 1.020223" descr="28910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Труба d12 реле потока-коллектора подачи холодной воды Immergas 1.022937" descr="28911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d18 Immergas 1.022935" descr="28912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Корпус перепускного клапана Nike Mini 28 Special Immergas 1.022936" descr="28913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628</xdr:row>
      <xdr:rowOff>95250</xdr:rowOff>
    </xdr:from>
    <xdr:ext cx="1238250" cy="1238250"/>
    <xdr:pic>
      <xdr:nvPicPr>
        <xdr:cNvPr id="616" name="Насос 43-15 Nike Mini 28 KW Special Immergas 1.023053" descr="28914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629</xdr:row>
      <xdr:rowOff>95250</xdr:rowOff>
    </xdr:from>
    <xdr:ext cx="1238250" cy="1238250"/>
    <xdr:pic>
      <xdr:nvPicPr>
        <xdr:cNvPr id="617" name="Коллектор подачи холодной воды Nike Mini 28KW Special Immergas 1.023397" descr="28915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630</xdr:row>
      <xdr:rowOff>95250</xdr:rowOff>
    </xdr:from>
    <xdr:ext cx="1238250" cy="1238250"/>
    <xdr:pic>
      <xdr:nvPicPr>
        <xdr:cNvPr id="618" name="Запальник АГУ-П Сигнал" descr="28921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631</xdr:row>
      <xdr:rowOff>95250</xdr:rowOff>
    </xdr:from>
    <xdr:ext cx="1238250" cy="1238250"/>
    <xdr:pic>
      <xdr:nvPicPr>
        <xdr:cNvPr id="619" name="Комплект проводов Nike Mini 28KW Special Immergas" descr="28922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632</xdr:row>
      <xdr:rowOff>95250</xdr:rowOff>
    </xdr:from>
    <xdr:ext cx="1238250" cy="1238250"/>
    <xdr:pic>
      <xdr:nvPicPr>
        <xdr:cNvPr id="620" name="Теплообменник первичный 24кВт Gelios Plus E.С.А. 7006907734" descr="29126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633</xdr:row>
      <xdr:rowOff>95250</xdr:rowOff>
    </xdr:from>
    <xdr:ext cx="1238250" cy="1238250"/>
    <xdr:pic>
      <xdr:nvPicPr>
        <xdr:cNvPr id="621" name="Теплообменник первичный Gerda 24кВт Е.С.А. 7006907916" descr="29128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634</xdr:row>
      <xdr:rowOff>95250</xdr:rowOff>
    </xdr:from>
    <xdr:ext cx="1238250" cy="1238250"/>
    <xdr:pic>
      <xdr:nvPicPr>
        <xdr:cNvPr id="622" name="Теплообменник ГВС Proteus Plus 24кВт Е.С.А. 7006902992" descr="29129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635</xdr:row>
      <xdr:rowOff>95250</xdr:rowOff>
    </xdr:from>
    <xdr:ext cx="1238250" cy="1238250"/>
    <xdr:pic>
      <xdr:nvPicPr>
        <xdr:cNvPr id="623" name="Плата управления Proteus Plus Е.С.А. 7006907059" descr="29131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95250</xdr:rowOff>
    </xdr:from>
    <xdr:ext cx="1238250" cy="1238250"/>
    <xdr:pic>
      <xdr:nvPicPr>
        <xdr:cNvPr id="624" name="Газовый клапан Sigma Sit 845 Gelios Plus Е.С.А. 7006901247" descr="29132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637</xdr:row>
      <xdr:rowOff>95250</xdr:rowOff>
    </xdr:from>
    <xdr:ext cx="1238250" cy="1238250"/>
    <xdr:pic>
      <xdr:nvPicPr>
        <xdr:cNvPr id="625" name="Насос циркуляционный GPD 15-5 S Gelios Plus Е.С.А. 7006907991" descr="29133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638</xdr:row>
      <xdr:rowOff>95250</xdr:rowOff>
    </xdr:from>
    <xdr:ext cx="1238250" cy="1238250"/>
    <xdr:pic>
      <xdr:nvPicPr>
        <xdr:cNvPr id="626" name="Насос циркуляционный UPS 15-50 Grundfos Gerda Е.С.А. 7006907594" descr="29134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95250</xdr:rowOff>
    </xdr:from>
    <xdr:ext cx="1238250" cy="1238250"/>
    <xdr:pic>
      <xdr:nvPicPr>
        <xdr:cNvPr id="627" name="Насос циркуляционный UPS 15-50 Grundfos Proteus Е.С.А. 7006902600" descr="29136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640</xdr:row>
      <xdr:rowOff>95250</xdr:rowOff>
    </xdr:from>
    <xdr:ext cx="1238250" cy="1238250"/>
    <xdr:pic>
      <xdr:nvPicPr>
        <xdr:cNvPr id="628" name="Сервопривод 3-х ходового клапана Gelios Plus E.С.А. 7006908425" descr="29137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641</xdr:row>
      <xdr:rowOff>95250</xdr:rowOff>
    </xdr:from>
    <xdr:ext cx="1238250" cy="1238250"/>
    <xdr:pic>
      <xdr:nvPicPr>
        <xdr:cNvPr id="629" name="Прессостат реле воздуха Gelios Plus Е.С.А. 7006907732" descr="29139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642</xdr:row>
      <xdr:rowOff>95250</xdr:rowOff>
    </xdr:from>
    <xdr:ext cx="1238250" cy="1238250"/>
    <xdr:pic>
      <xdr:nvPicPr>
        <xdr:cNvPr id="630" name="Прессостат реле воздуха Gerda Е.С.А. 7006907787" descr="29140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643</xdr:row>
      <xdr:rowOff>95250</xdr:rowOff>
    </xdr:from>
    <xdr:ext cx="1238250" cy="1238250"/>
    <xdr:pic>
      <xdr:nvPicPr>
        <xdr:cNvPr id="631" name="Датчик расхода Gerda Е.С.А. 7006907549" descr="29142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644</xdr:row>
      <xdr:rowOff>95250</xdr:rowOff>
    </xdr:from>
    <xdr:ext cx="1238250" cy="1238250"/>
    <xdr:pic>
      <xdr:nvPicPr>
        <xdr:cNvPr id="632" name="Датчик потока Proteus Plus Е.С.А. 7006985271" descr="29143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645</xdr:row>
      <xdr:rowOff>95250</xdr:rowOff>
    </xdr:from>
    <xdr:ext cx="1238250" cy="1238250"/>
    <xdr:pic>
      <xdr:nvPicPr>
        <xdr:cNvPr id="633" name="Вентилятор 48Вт Gelios Plus Е.С.А. 7006907730" descr="29149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646</xdr:row>
      <xdr:rowOff>95250</xdr:rowOff>
    </xdr:from>
    <xdr:ext cx="1238250" cy="1238250"/>
    <xdr:pic>
      <xdr:nvPicPr>
        <xdr:cNvPr id="634" name="Тэн для умывальника 1,5 кВт L 280мм 02.115" descr="29162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647</xdr:row>
      <xdr:rowOff>95250</xdr:rowOff>
    </xdr:from>
    <xdr:ext cx="1238250" cy="1238250"/>
    <xdr:pic>
      <xdr:nvPicPr>
        <xdr:cNvPr id="635" name="Тэн для умывальника 1,25 кВт L 200мм 02.125" descr="29163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648</xdr:row>
      <xdr:rowOff>95250</xdr:rowOff>
    </xdr:from>
    <xdr:ext cx="1238250" cy="1238250"/>
    <xdr:pic>
      <xdr:nvPicPr>
        <xdr:cNvPr id="636" name="Тэн для радиатора RDT 1кВт L272мм Ду-32 24066" descr="29164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649</xdr:row>
      <xdr:rowOff>95250</xdr:rowOff>
    </xdr:from>
    <xdr:ext cx="1238250" cy="1238250"/>
    <xdr:pic>
      <xdr:nvPicPr>
        <xdr:cNvPr id="637" name="Тэн для радиатора RDT 1.5кВт L272мм Ду-32 24068" descr="29165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650</xdr:row>
      <xdr:rowOff>95250</xdr:rowOff>
    </xdr:from>
    <xdr:ext cx="1238250" cy="1238250"/>
    <xdr:pic>
      <xdr:nvPicPr>
        <xdr:cNvPr id="638" name="Электрод розжига ВПГ ВЕСТ" descr="29287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651</xdr:row>
      <xdr:rowOff>95250</xdr:rowOff>
    </xdr:from>
    <xdr:ext cx="1238250" cy="1238250"/>
    <xdr:pic>
      <xdr:nvPicPr>
        <xdr:cNvPr id="639" name="Тэн для радиатора RDT 2кВт L361мм Ду-32 24069" descr="29509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652</xdr:row>
      <xdr:rowOff>95250</xdr:rowOff>
    </xdr:from>
    <xdr:ext cx="1238250" cy="1238250"/>
    <xdr:pic>
      <xdr:nvPicPr>
        <xdr:cNvPr id="640" name="Тэн для радиатора RDT 0.8кВт L315мм Ду-32 24065" descr="29510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653</xdr:row>
      <xdr:rowOff>95250</xdr:rowOff>
    </xdr:from>
    <xdr:ext cx="1238250" cy="1238250"/>
    <xdr:pic>
      <xdr:nvPicPr>
        <xdr:cNvPr id="641" name="Тэн для радиатора 1кВт L380мм Ду-25 правая резьба Р10П" descr="29511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654</xdr:row>
      <xdr:rowOff>95250</xdr:rowOff>
    </xdr:from>
    <xdr:ext cx="1238250" cy="1238250"/>
    <xdr:pic>
      <xdr:nvPicPr>
        <xdr:cNvPr id="642" name="Тэн для радиатора 1.5кВт L390мм Ду-25 правая резьба Р15П" descr="29512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655</xdr:row>
      <xdr:rowOff>95250</xdr:rowOff>
    </xdr:from>
    <xdr:ext cx="1238250" cy="1238250"/>
    <xdr:pic>
      <xdr:nvPicPr>
        <xdr:cNvPr id="643" name="Конфорка ЭКЧ 1200 Вт D-180 с нержавеющим ободом 618012" descr="29513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656</xdr:row>
      <xdr:rowOff>95250</xdr:rowOff>
    </xdr:from>
    <xdr:ext cx="1238250" cy="1238250"/>
    <xdr:pic>
      <xdr:nvPicPr>
        <xdr:cNvPr id="644" name="Шток водяного узла ВПГ-10Е Ладогаз" descr="29564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657</xdr:row>
      <xdr:rowOff>95250</xdr:rowOff>
    </xdr:from>
    <xdr:ext cx="1238250" cy="1238250"/>
    <xdr:pic>
      <xdr:nvPicPr>
        <xdr:cNvPr id="645" name="Адаптер обратки угловой Navien Deluxe S/C/E 20027160A" descr="29605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658</xdr:row>
      <xdr:rowOff>95250</xdr:rowOff>
    </xdr:from>
    <xdr:ext cx="1238250" cy="1238250"/>
    <xdr:pic>
      <xdr:nvPicPr>
        <xdr:cNvPr id="646" name="Фитинг выходной угловой гидравлический с датчиком температуры Deluxe E/C Navien 30017012A" descr="29606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659</xdr:row>
      <xdr:rowOff>95250</xdr:rowOff>
    </xdr:from>
    <xdr:ext cx="1238250" cy="1238250"/>
    <xdr:pic>
      <xdr:nvPicPr>
        <xdr:cNvPr id="647" name="Кольцо уплотнительное Navien 20027348A" descr="29711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660</xdr:row>
      <xdr:rowOff>95250</xdr:rowOff>
    </xdr:from>
    <xdr:ext cx="1238250" cy="1238250"/>
    <xdr:pic>
      <xdr:nvPicPr>
        <xdr:cNvPr id="648" name="Скоба-фиксатор Navien 20007733A" descr="29712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661</xdr:row>
      <xdr:rowOff>95250</xdr:rowOff>
    </xdr:from>
    <xdr:ext cx="1238250" cy="1238250"/>
    <xdr:pic>
      <xdr:nvPicPr>
        <xdr:cNvPr id="649" name="Заглушка газового клапан EuroSit G 3/8&quot;" descr="29748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662</xdr:row>
      <xdr:rowOff>95250</xdr:rowOff>
    </xdr:from>
    <xdr:ext cx="1238250" cy="1238250"/>
    <xdr:pic>
      <xdr:nvPicPr>
        <xdr:cNvPr id="650" name="Термопара 900мм универсальная  0.208.002" descr="29766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663</xdr:row>
      <xdr:rowOff>95250</xdr:rowOff>
    </xdr:from>
    <xdr:ext cx="1238250" cy="1238250"/>
    <xdr:pic>
      <xdr:nvPicPr>
        <xdr:cNvPr id="651" name="Тэн RF64 2.0кВт 0.7+1.3кВт М4 L350мм горизонтальный Термекс 20043" descr="29819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664</xdr:row>
      <xdr:rowOff>95250</xdr:rowOff>
    </xdr:from>
    <xdr:ext cx="1238250" cy="1238250"/>
    <xdr:pic>
      <xdr:nvPicPr>
        <xdr:cNvPr id="652" name="Конфорка ЭКЧ 1500 Вт D-145 с нержавеющим ободом 814515" descr="29820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665</xdr:row>
      <xdr:rowOff>95250</xdr:rowOff>
    </xdr:from>
    <xdr:ext cx="1238250" cy="1238250"/>
    <xdr:pic>
      <xdr:nvPicPr>
        <xdr:cNvPr id="653" name="Мембрана ВПГ VilTerm 1101-08.821" descr="29970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666</xdr:row>
      <xdr:rowOff>95250</xdr:rowOff>
    </xdr:from>
    <xdr:ext cx="1238250" cy="1238250"/>
    <xdr:pic>
      <xdr:nvPicPr>
        <xdr:cNvPr id="654" name="Мембрана ВПГ-10А/11PL-01/11ЕD Ладогаз силикон" descr="29976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667</xdr:row>
      <xdr:rowOff>95250</xdr:rowOff>
    </xdr:from>
    <xdr:ext cx="1238250" cy="1238250"/>
    <xdr:pic>
      <xdr:nvPicPr>
        <xdr:cNvPr id="655" name="Картридж 3х-ходового клапана Ferroli 902621980" descr="30127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668</xdr:row>
      <xdr:rowOff>95250</xdr:rowOff>
    </xdr:from>
    <xdr:ext cx="1238250" cy="1238250"/>
    <xdr:pic>
      <xdr:nvPicPr>
        <xdr:cNvPr id="656" name="Электрод розжига и ионизации Domitech/Divatech 39819430" descr="30255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669</xdr:row>
      <xdr:rowOff>95250</xdr:rowOff>
    </xdr:from>
    <xdr:ext cx="1238250" cy="1238250"/>
    <xdr:pic>
      <xdr:nvPicPr>
        <xdr:cNvPr id="657" name="Фильтр масляный LFA 13-24K Navien 30004380C" descr="30343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670</xdr:row>
      <xdr:rowOff>95250</xdr:rowOff>
    </xdr:from>
    <xdr:ext cx="1238250" cy="1238250"/>
    <xdr:pic>
      <xdr:nvPicPr>
        <xdr:cNvPr id="658" name="Форсунка на дизтопливо LFA/LST 24 Navien 20010482A" descr="30344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671</xdr:row>
      <xdr:rowOff>95250</xdr:rowOff>
    </xdr:from>
    <xdr:ext cx="1238250" cy="1238250"/>
    <xdr:pic>
      <xdr:nvPicPr>
        <xdr:cNvPr id="659" name="Гидроузел с клапаном-байпасом Deluxe E/C 30021964А" descr="30345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672</xdr:row>
      <xdr:rowOff>95250</xdr:rowOff>
    </xdr:from>
    <xdr:ext cx="1238250" cy="1238250"/>
    <xdr:pic>
      <xdr:nvPicPr>
        <xdr:cNvPr id="660" name="Мотор 3-х ходового клапана Deluxe S" descr="30346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673</xdr:row>
      <xdr:rowOff>95250</xdr:rowOff>
    </xdr:from>
    <xdr:ext cx="1238250" cy="1238250"/>
    <xdr:pic>
      <xdr:nvPicPr>
        <xdr:cNvPr id="661" name="Газовый клапан TGV 310" descr="30433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674</xdr:row>
      <xdr:rowOff>95250</xdr:rowOff>
    </xdr:from>
    <xdr:ext cx="1238250" cy="1238250"/>
    <xdr:pic>
      <xdr:nvPicPr>
        <xdr:cNvPr id="662" name="Термопара ЭКО М9 А3 Луч" descr="30523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675</xdr:row>
      <xdr:rowOff>95250</xdr:rowOff>
    </xdr:from>
    <xdr:ext cx="1238250" cy="1238250"/>
    <xdr:pic>
      <xdr:nvPicPr>
        <xdr:cNvPr id="663" name="Клапан 3-х ходовой Deluxe Е/С Navien 30013136A" descr="30541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676</xdr:row>
      <xdr:rowOff>95250</xdr:rowOff>
    </xdr:from>
    <xdr:ext cx="1238250" cy="1238250"/>
    <xdr:pic>
      <xdr:nvPicPr>
        <xdr:cNvPr id="664" name="Теплоообменник первичный Navien Deluxe Е 30021953А" descr="30542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677</xdr:row>
      <xdr:rowOff>95250</xdr:rowOff>
    </xdr:from>
    <xdr:ext cx="1238250" cy="1238250"/>
    <xdr:pic>
      <xdr:nvPicPr>
        <xdr:cNvPr id="665" name="Датчик протока Deluxe S 13-35K Navien 30020634A" descr="30543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678</xdr:row>
      <xdr:rowOff>95250</xdr:rowOff>
    </xdr:from>
    <xdr:ext cx="1238250" cy="1238250"/>
    <xdr:pic>
      <xdr:nvPicPr>
        <xdr:cNvPr id="666" name="Фильтр топливный LST 50-60KR Navien 30011626B" descr="30544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679</xdr:row>
      <xdr:rowOff>95250</xdr:rowOff>
    </xdr:from>
    <xdr:ext cx="1238250" cy="1238250"/>
    <xdr:pic>
      <xdr:nvPicPr>
        <xdr:cNvPr id="667" name="Насос топливный плунжерный LFA/LST 30К Navien 30004240B" descr="30545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680</xdr:row>
      <xdr:rowOff>95250</xdr:rowOff>
    </xdr:from>
    <xdr:ext cx="1238250" cy="1238250"/>
    <xdr:pic>
      <xdr:nvPicPr>
        <xdr:cNvPr id="668" name="Форсунка на дизтопливо LFA/LST 13-17 Navien 20010472A" descr="30546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681</xdr:row>
      <xdr:rowOff>95250</xdr:rowOff>
    </xdr:from>
    <xdr:ext cx="1238250" cy="1238250"/>
    <xdr:pic>
      <xdr:nvPicPr>
        <xdr:cNvPr id="669" name="Клапан регулирования расхода воды Deluxe S Navien 30011194A" descr="30584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682</xdr:row>
      <xdr:rowOff>95250</xdr:rowOff>
    </xdr:from>
    <xdr:ext cx="1238250" cy="1238250"/>
    <xdr:pic>
      <xdr:nvPicPr>
        <xdr:cNvPr id="670" name="Дефлектор LST 50-60КR Navien 30004731A" descr="30585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683</xdr:row>
      <xdr:rowOff>95250</xdr:rowOff>
    </xdr:from>
    <xdr:ext cx="1238250" cy="1238250"/>
    <xdr:pic>
      <xdr:nvPicPr>
        <xdr:cNvPr id="671" name="Рассекатель дымовых газов LST-13-24 Navien 20007301B" descr="30586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684</xdr:row>
      <xdr:rowOff>95250</xdr:rowOff>
    </xdr:from>
    <xdr:ext cx="1238250" cy="1238250"/>
    <xdr:pic>
      <xdr:nvPicPr>
        <xdr:cNvPr id="672" name="Блок управления ВПГ-10S-01 Ладогаз" descr="30611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685</xdr:row>
      <xdr:rowOff>95250</xdr:rowOff>
    </xdr:from>
    <xdr:ext cx="1238250" cy="1238250"/>
    <xdr:pic>
      <xdr:nvPicPr>
        <xdr:cNvPr id="673" name="Газоводяной узел ВПГ 10S-01 Ладогаз" descr="30612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686</xdr:row>
      <xdr:rowOff>95250</xdr:rowOff>
    </xdr:from>
    <xdr:ext cx="1238250" cy="1238250"/>
    <xdr:pic>
      <xdr:nvPicPr>
        <xdr:cNvPr id="674" name="Контргайка никелированная для резьбового ТЭНа RDT Ду-32 с ребордой" descr="30628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687</xdr:row>
      <xdr:rowOff>95250</xdr:rowOff>
    </xdr:from>
    <xdr:ext cx="1238250" cy="1238250"/>
    <xdr:pic>
      <xdr:nvPicPr>
        <xdr:cNvPr id="675" name="Плата управления Mythos Immergas 1.039231" descr="30736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688</xdr:row>
      <xdr:rowOff>95250</xdr:rowOff>
    </xdr:from>
    <xdr:ext cx="1238250" cy="1238250"/>
    <xdr:pic>
      <xdr:nvPicPr>
        <xdr:cNvPr id="676" name="Прокладка 13,94х2,62мм Immergas 3.016092" descr="30738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689</xdr:row>
      <xdr:rowOff>95250</xdr:rowOff>
    </xdr:from>
    <xdr:ext cx="1238250" cy="1238250"/>
    <xdr:pic>
      <xdr:nvPicPr>
        <xdr:cNvPr id="677" name="Зажим трубный &quot;С&quot; Navien  20007739A" descr="30816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690</xdr:row>
      <xdr:rowOff>95250</xdr:rowOff>
    </xdr:from>
    <xdr:ext cx="1238250" cy="1238250"/>
    <xdr:pic>
      <xdr:nvPicPr>
        <xdr:cNvPr id="678" name="Форсунка на дизтопливо LFA/LST 21К Navien 20010478A" descr="30817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691</xdr:row>
      <xdr:rowOff>95250</xdr:rowOff>
    </xdr:from>
    <xdr:ext cx="1238250" cy="1238250"/>
    <xdr:pic>
      <xdr:nvPicPr>
        <xdr:cNvPr id="679" name="Гидроузел датчика протока Navien АТМО 13-16 c краном подпитки 30019903A" descr="30820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692</xdr:row>
      <xdr:rowOff>95250</xdr:rowOff>
    </xdr:from>
    <xdr:ext cx="1238250" cy="1238250"/>
    <xdr:pic>
      <xdr:nvPicPr>
        <xdr:cNvPr id="680" name="Пульт дистанционного управления Navien LFA/LST 13-40,GST 49-60 30000608C" descr="30821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693</xdr:row>
      <xdr:rowOff>95250</xdr:rowOff>
    </xdr:from>
    <xdr:ext cx="1238250" cy="1238250"/>
    <xdr:pic>
      <xdr:nvPicPr>
        <xdr:cNvPr id="681" name="Датчик протока ГВС Immergas Eolo Maior 24/28/32 1.020831" descr="30876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694</xdr:row>
      <xdr:rowOff>95250</xdr:rowOff>
    </xdr:from>
    <xdr:ext cx="1238250" cy="1238250"/>
    <xdr:pic>
      <xdr:nvPicPr>
        <xdr:cNvPr id="682" name="Кран подпитки Maior Eolo 24/28 Immergas 3.019630" descr="30877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695</xdr:row>
      <xdr:rowOff>95250</xdr:rowOff>
    </xdr:from>
    <xdr:ext cx="1238250" cy="1238250"/>
    <xdr:pic>
      <xdr:nvPicPr>
        <xdr:cNvPr id="683" name="Клапан предохранительный 3бар Eolo Maior 24/28/32 Immergas 1.017589" descr="30878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696</xdr:row>
      <xdr:rowOff>95250</xdr:rowOff>
    </xdr:from>
    <xdr:ext cx="1238250" cy="1238250"/>
    <xdr:pic>
      <xdr:nvPicPr>
        <xdr:cNvPr id="684" name="Датчик перегрева 75*С таблетка" descr="31085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697</xdr:row>
      <xdr:rowOff>95250</xdr:rowOff>
    </xdr:from>
    <xdr:ext cx="1238250" cy="1238250"/>
    <xdr:pic>
      <xdr:nvPicPr>
        <xdr:cNvPr id="685" name="Датчик перегрева 85*С таблетка" descr="31090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698</xdr:row>
      <xdr:rowOff>95250</xdr:rowOff>
    </xdr:from>
    <xdr:ext cx="1238250" cy="1238250"/>
    <xdr:pic>
      <xdr:nvPicPr>
        <xdr:cNvPr id="686" name="Датчик перегрева 115*С таблетка" descr="31092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699</xdr:row>
      <xdr:rowOff>95250</xdr:rowOff>
    </xdr:from>
    <xdr:ext cx="1238250" cy="1238250"/>
    <xdr:pic>
      <xdr:nvPicPr>
        <xdr:cNvPr id="687" name="Датчик перегрева 95*С таблетка" descr="31093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700</xdr:row>
      <xdr:rowOff>95250</xdr:rowOff>
    </xdr:from>
    <xdr:ext cx="1238250" cy="1238250"/>
    <xdr:pic>
      <xdr:nvPicPr>
        <xdr:cNvPr id="688" name="Термопара 1200мм универсальная  BDR 031" descr="31337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701</xdr:row>
      <xdr:rowOff>95250</xdr:rowOff>
    </xdr:from>
    <xdr:ext cx="1238250" cy="1238250"/>
    <xdr:pic>
      <xdr:nvPicPr>
        <xdr:cNvPr id="689" name="Термопара 750мм М10 А1 0.200.170" descr="31339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702</xdr:row>
      <xdr:rowOff>95250</xdr:rowOff>
    </xdr:from>
    <xdr:ext cx="1238250" cy="1238250"/>
    <xdr:pic>
      <xdr:nvPicPr>
        <xdr:cNvPr id="690" name="Датчик протока Deluxe Е/С 13-35K Navien 30023133A" descr="31381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703</xdr:row>
      <xdr:rowOff>95250</xdr:rowOff>
    </xdr:from>
    <xdr:ext cx="1238250" cy="1238250"/>
    <xdr:pic>
      <xdr:nvPicPr>
        <xdr:cNvPr id="691" name="Кольцо уплотнительное 18.8мм Navien 20027347A" descr="31382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704</xdr:row>
      <xdr:rowOff>95250</xdr:rowOff>
    </xdr:from>
    <xdr:ext cx="1238250" cy="1238250"/>
    <xdr:pic>
      <xdr:nvPicPr>
        <xdr:cNvPr id="692" name="Насос топливный шестеренчатый LST 13-60 Navien 30004244A" descr="31390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705</xdr:row>
      <xdr:rowOff>95250</xdr:rowOff>
    </xdr:from>
    <xdr:ext cx="1238250" cy="1238250"/>
    <xdr:pic>
      <xdr:nvPicPr>
        <xdr:cNvPr id="693" name="Жгут кабельный в сборе с коннекторами Navien ACE 13-40, ACE Coaxial 13-35K  30003000E" descr="31395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706</xdr:row>
      <xdr:rowOff>95250</xdr:rowOff>
    </xdr:from>
    <xdr:ext cx="1238250" cy="1238250"/>
    <xdr:pic>
      <xdr:nvPicPr>
        <xdr:cNvPr id="694" name="Фланец 3-х ходового клапана Immergas 3.031531" descr="31485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707</xdr:row>
      <xdr:rowOff>95250</xdr:rowOff>
    </xdr:from>
    <xdr:ext cx="1238250" cy="1238250"/>
    <xdr:pic>
      <xdr:nvPicPr>
        <xdr:cNvPr id="695" name="Теплообменник ГВС Gelios Plus 10 пластин E.C.A 7006991269" descr="31504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708</xdr:row>
      <xdr:rowOff>95250</xdr:rowOff>
    </xdr:from>
    <xdr:ext cx="1238250" cy="1238250"/>
    <xdr:pic>
      <xdr:nvPicPr>
        <xdr:cNvPr id="696" name="Горелка пилотная 0.160.059" descr="31559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709</xdr:row>
      <xdr:rowOff>95250</xdr:rowOff>
    </xdr:from>
    <xdr:ext cx="1238250" cy="1238250"/>
    <xdr:pic>
      <xdr:nvPicPr>
        <xdr:cNvPr id="697" name="Горелка пилотная 0.160.118" descr="31611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710</xdr:row>
      <xdr:rowOff>95250</xdr:rowOff>
    </xdr:from>
    <xdr:ext cx="1238250" cy="1238250"/>
    <xdr:pic>
      <xdr:nvPicPr>
        <xdr:cNvPr id="698" name="Тэн для радиатора 0.5кВт L270мм Ду-25 правая резьба Р05П" descr="31652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711</xdr:row>
      <xdr:rowOff>95250</xdr:rowOff>
    </xdr:from>
    <xdr:ext cx="1238250" cy="1238250"/>
    <xdr:pic>
      <xdr:nvPicPr>
        <xdr:cNvPr id="699" name="Тэн для радиатора 0.5кВт L270мм Ду-25 левая резьба Р05Л" descr="31653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712</xdr:row>
      <xdr:rowOff>95250</xdr:rowOff>
    </xdr:from>
    <xdr:ext cx="1238250" cy="1238250"/>
    <xdr:pic>
      <xdr:nvPicPr>
        <xdr:cNvPr id="700" name="Тэн для умывальника 500 Вт L 150мм 02.050" descr="31654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713</xdr:row>
      <xdr:rowOff>95250</xdr:rowOff>
    </xdr:from>
    <xdr:ext cx="1238250" cy="1238250"/>
    <xdr:pic>
      <xdr:nvPicPr>
        <xdr:cNvPr id="701" name="ТЭН для водонагревателя Haier 1.5 кВт М6 L235мм 150834" descr="31655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714</xdr:row>
      <xdr:rowOff>95250</xdr:rowOff>
    </xdr:from>
    <xdr:ext cx="1238250" cy="1238250"/>
    <xdr:pic>
      <xdr:nvPicPr>
        <xdr:cNvPr id="702" name="ТЭН для водонагревателя Haier 2.0 кВт М6 L225мм 150784" descr="31656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715</xdr:row>
      <xdr:rowOff>95250</xdr:rowOff>
    </xdr:from>
    <xdr:ext cx="1238250" cy="1238250"/>
    <xdr:pic>
      <xdr:nvPicPr>
        <xdr:cNvPr id="703" name="ТЭН RF для водонагревателя Haier 1.5 кВт М4 L210мм П1501" descr="31657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716</xdr:row>
      <xdr:rowOff>95250</xdr:rowOff>
    </xdr:from>
    <xdr:ext cx="1238250" cy="1238250"/>
    <xdr:pic>
      <xdr:nvPicPr>
        <xdr:cNvPr id="704" name="ТЭН RF для водонагревателя Haier 2кВт М4 L205мм П1500" descr="31658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717</xdr:row>
      <xdr:rowOff>95250</xdr:rowOff>
    </xdr:from>
    <xdr:ext cx="1238250" cy="1238250"/>
    <xdr:pic>
      <xdr:nvPicPr>
        <xdr:cNvPr id="705" name="Тэн водяной 1000Вт L195мм 07.102" descr="31659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718</xdr:row>
      <xdr:rowOff>95250</xdr:rowOff>
    </xdr:from>
    <xdr:ext cx="1238250" cy="1238250"/>
    <xdr:pic>
      <xdr:nvPicPr>
        <xdr:cNvPr id="706" name="Тэн водяной 1600Вт L180мм 07.162" descr="31660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719</xdr:row>
      <xdr:rowOff>95250</xdr:rowOff>
    </xdr:from>
    <xdr:ext cx="1238250" cy="1238250"/>
    <xdr:pic>
      <xdr:nvPicPr>
        <xdr:cNvPr id="707" name="Тэн водяной 2000Вт L185мм 07.202" descr="31661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720</xdr:row>
      <xdr:rowOff>95250</xdr:rowOff>
    </xdr:from>
    <xdr:ext cx="1238250" cy="1238250"/>
    <xdr:pic>
      <xdr:nvPicPr>
        <xdr:cNvPr id="708" name="Датчик давления NGB210 Navien 30014860B" descr="31757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721</xdr:row>
      <xdr:rowOff>95250</xdr:rowOff>
    </xdr:from>
    <xdr:ext cx="1238250" cy="1238250"/>
    <xdr:pic>
      <xdr:nvPicPr>
        <xdr:cNvPr id="709" name="Датчик холла Deluxe S/C/E/ONE Navien 30011774A" descr="31758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722</xdr:row>
      <xdr:rowOff>95250</xdr:rowOff>
    </xdr:from>
    <xdr:ext cx="1238250" cy="1238250"/>
    <xdr:pic>
      <xdr:nvPicPr>
        <xdr:cNvPr id="710" name="Горелка пилотная Кебер ТС15-02.00.000-06 УГ-*-3-54" descr="31766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723</xdr:row>
      <xdr:rowOff>95250</xdr:rowOff>
    </xdr:from>
    <xdr:ext cx="1238250" cy="1238250"/>
    <xdr:pic>
      <xdr:nvPicPr>
        <xdr:cNvPr id="711" name="Плата управления Maior Eolo Immergas 1.031865 аналог 1.024088" descr="31876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724</xdr:row>
      <xdr:rowOff>95250</xdr:rowOff>
    </xdr:from>
    <xdr:ext cx="1238250" cy="1238250"/>
    <xdr:pic>
      <xdr:nvPicPr>
        <xdr:cNvPr id="712" name="Термопара 400мм универсальная М8" descr="31918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725</xdr:row>
      <xdr:rowOff>95250</xdr:rowOff>
    </xdr:from>
    <xdr:ext cx="1238250" cy="1238250"/>
    <xdr:pic>
      <xdr:nvPicPr>
        <xdr:cNvPr id="713" name="Датчик температуры воды ВПГ VilTerm 1101-08.500" descr="32229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726</xdr:row>
      <xdr:rowOff>95250</xdr:rowOff>
    </xdr:from>
    <xdr:ext cx="1238250" cy="1238250"/>
    <xdr:pic>
      <xdr:nvPicPr>
        <xdr:cNvPr id="714" name="Дисплей ВПГ VilTerm 1101-18.600" descr="32230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727</xdr:row>
      <xdr:rowOff>95250</xdr:rowOff>
    </xdr:from>
    <xdr:ext cx="1238250" cy="1238250"/>
    <xdr:pic>
      <xdr:nvPicPr>
        <xdr:cNvPr id="715" name="Тэн водяной 2500Вт L180мм 07.257" descr="32231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728</xdr:row>
      <xdr:rowOff>95250</xdr:rowOff>
    </xdr:from>
    <xdr:ext cx="1238250" cy="1238250"/>
    <xdr:pic>
      <xdr:nvPicPr>
        <xdr:cNvPr id="716" name="Тэн водяной 4000Вт L240мм 03.340" descr="32232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729</xdr:row>
      <xdr:rowOff>95250</xdr:rowOff>
    </xdr:from>
    <xdr:ext cx="1238250" cy="1238250"/>
    <xdr:pic>
      <xdr:nvPicPr>
        <xdr:cNvPr id="717" name="Тэн водяной 2500Вт L250мм 07.252" descr="32233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730</xdr:row>
      <xdr:rowOff>95250</xdr:rowOff>
    </xdr:from>
    <xdr:ext cx="1238250" cy="1238250"/>
    <xdr:pic>
      <xdr:nvPicPr>
        <xdr:cNvPr id="718" name="Тэн водяной 3000Вт L240мм 03.230" descr="32234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731</xdr:row>
      <xdr:rowOff>95250</xdr:rowOff>
    </xdr:from>
    <xdr:ext cx="1238250" cy="1238250"/>
    <xdr:pic>
      <xdr:nvPicPr>
        <xdr:cNvPr id="719" name="Гидроузел датчика протока ГВС c краном подпитки Deluxe C 30023508A" descr="32313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732</xdr:row>
      <xdr:rowOff>95250</xdr:rowOff>
    </xdr:from>
    <xdr:ext cx="1238250" cy="1238250"/>
    <xdr:pic>
      <xdr:nvPicPr>
        <xdr:cNvPr id="720" name="Теплообменник первичный NGB210 Heatluxe Navien 30013865A" descr="32372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733</xdr:row>
      <xdr:rowOff>95250</xdr:rowOff>
    </xdr:from>
    <xdr:ext cx="1238250" cy="1238250"/>
    <xdr:pic>
      <xdr:nvPicPr>
        <xdr:cNvPr id="721" name="Коллектор для сжиженного газа Navien Ace Coaxial 35K 30006048A" descr="32568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734</xdr:row>
      <xdr:rowOff>95250</xdr:rowOff>
    </xdr:from>
    <xdr:ext cx="1238250" cy="1238250"/>
    <xdr:pic>
      <xdr:nvPicPr>
        <xdr:cNvPr id="722" name="Изоляционная прокладка электродов  розжига и ионизации (А) Navien 20023584A" descr="32570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735</xdr:row>
      <xdr:rowOff>95250</xdr:rowOff>
    </xdr:from>
    <xdr:ext cx="1238250" cy="1238250"/>
    <xdr:pic>
      <xdr:nvPicPr>
        <xdr:cNvPr id="723" name="Изоляционная прокладка электродов розжига и ионизации (В) Navien 20023585B" descr="32571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736</xdr:row>
      <xdr:rowOff>95250</xdr:rowOff>
    </xdr:from>
    <xdr:ext cx="1238250" cy="1238250"/>
    <xdr:pic>
      <xdr:nvPicPr>
        <xdr:cNvPr id="724" name="Электроды розжига LST 50-60 Navien 20010609A" descr="32572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737</xdr:row>
      <xdr:rowOff>95250</xdr:rowOff>
    </xdr:from>
    <xdr:ext cx="1238250" cy="1238250"/>
    <xdr:pic>
      <xdr:nvPicPr>
        <xdr:cNvPr id="725" name="Вентилятор Navien Deluxe 30-40К 30010860B" descr="32573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738</xdr:row>
      <xdr:rowOff>95250</xdr:rowOff>
    </xdr:from>
    <xdr:ext cx="1238250" cy="1238250"/>
    <xdr:pic>
      <xdr:nvPicPr>
        <xdr:cNvPr id="726" name="Блок управления плата Navien Deluxe ONE 24 30024761A" descr="32574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739</xdr:row>
      <xdr:rowOff>95250</xdr:rowOff>
    </xdr:from>
    <xdr:ext cx="1238250" cy="1238250"/>
    <xdr:pic>
      <xdr:nvPicPr>
        <xdr:cNvPr id="727" name="Электроды розжига GA 11-17K Navien 20010583A" descr="32577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740</xdr:row>
      <xdr:rowOff>95250</xdr:rowOff>
    </xdr:from>
    <xdr:ext cx="1238250" cy="1238250"/>
    <xdr:pic>
      <xdr:nvPicPr>
        <xdr:cNvPr id="728" name="Блок управления ВПГ-11ED Ладогаз" descr="32580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741</xdr:row>
      <xdr:rowOff>95250</xdr:rowOff>
    </xdr:from>
    <xdr:ext cx="1238250" cy="1238250"/>
    <xdr:pic>
      <xdr:nvPicPr>
        <xdr:cNvPr id="729" name="Прокладка камеры сгорания Deluxe 13-24 Navien 20035353A" descr="32618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742</xdr:row>
      <xdr:rowOff>95250</xdr:rowOff>
    </xdr:from>
    <xdr:ext cx="1238250" cy="1238250"/>
    <xdr:pic>
      <xdr:nvPicPr>
        <xdr:cNvPr id="730" name="Ремкомплект уплотнительных колец для котлов NGB 210Navien 30023410A" descr="32705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743</xdr:row>
      <xdr:rowOff>95250</xdr:rowOff>
    </xdr:from>
    <xdr:ext cx="1238250" cy="1238250"/>
    <xdr:pic>
      <xdr:nvPicPr>
        <xdr:cNvPr id="731" name="Улитка циркуляционного насоса Navien Deluxe 30001392B" descr="32706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744</xdr:row>
      <xdr:rowOff>95250</xdr:rowOff>
    </xdr:from>
    <xdr:ext cx="1238250" cy="1238250"/>
    <xdr:pic>
      <xdr:nvPicPr>
        <xdr:cNvPr id="732" name="Термопара 473003 АОГВ 17-29 Комфорт с 12.2012г ЖМЗ" descr="32707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745</xdr:row>
      <xdr:rowOff>95250</xdr:rowOff>
    </xdr:from>
    <xdr:ext cx="1238250" cy="1238250"/>
    <xdr:pic>
      <xdr:nvPicPr>
        <xdr:cNvPr id="733" name="Термопара FERROLI TORINO 7.5-30 7248043" descr="32851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746</xdr:row>
      <xdr:rowOff>95250</xdr:rowOff>
    </xdr:from>
    <xdr:ext cx="1238250" cy="1238250"/>
    <xdr:pic>
      <xdr:nvPicPr>
        <xdr:cNvPr id="734" name="Теплообменник ВПГ-10S-01 Ладогаз" descr="32903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747</xdr:row>
      <xdr:rowOff>95250</xdr:rowOff>
    </xdr:from>
    <xdr:ext cx="1238250" cy="1238250"/>
    <xdr:pic>
      <xdr:nvPicPr>
        <xdr:cNvPr id="735" name="Игла ионизации ВПГ-10Е Ладогаз" descr="32904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748</xdr:row>
      <xdr:rowOff>95250</xdr:rowOff>
    </xdr:from>
    <xdr:ext cx="1238250" cy="1238250"/>
    <xdr:pic>
      <xdr:nvPicPr>
        <xdr:cNvPr id="736" name="Игла ионизации ВПГ-11PL-01,11ED-01,11PL,14FD Ладогаз" descr="32905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749</xdr:row>
      <xdr:rowOff>95250</xdr:rowOff>
    </xdr:from>
    <xdr:ext cx="1238250" cy="1238250"/>
    <xdr:pic>
      <xdr:nvPicPr>
        <xdr:cNvPr id="737" name="Электрод ионизации Immergas 3.031568 аналог 1.010645" descr="32914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750</xdr:row>
      <xdr:rowOff>95250</xdr:rowOff>
    </xdr:from>
    <xdr:ext cx="1238250" cy="1238250"/>
    <xdr:pic>
      <xdr:nvPicPr>
        <xdr:cNvPr id="738" name="Пьезокнопка Sit 710" descr="33050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751</xdr:row>
      <xdr:rowOff>95250</xdr:rowOff>
    </xdr:from>
    <xdr:ext cx="1238250" cy="1238250"/>
    <xdr:pic>
      <xdr:nvPicPr>
        <xdr:cNvPr id="739" name="Комплект форсунок на сжиженный газ Ferroli G30/31 39819600" descr="33091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752</xdr:row>
      <xdr:rowOff>95250</xdr:rowOff>
    </xdr:from>
    <xdr:ext cx="1238250" cy="1238250"/>
    <xdr:pic>
      <xdr:nvPicPr>
        <xdr:cNvPr id="740" name="Ремкомплект крана подпитки Ferroli Vitabel/Fortuna 902608820" descr="33092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753</xdr:row>
      <xdr:rowOff>95250</xdr:rowOff>
    </xdr:from>
    <xdr:ext cx="1238250" cy="1238250"/>
    <xdr:pic>
      <xdr:nvPicPr>
        <xdr:cNvPr id="741" name="Гидроузел датчика протока ГВС c краном подпитки Navien Deluxe C/Е 30022050A" descr="33098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754</xdr:row>
      <xdr:rowOff>95250</xdr:rowOff>
    </xdr:from>
    <xdr:ext cx="1238250" cy="1238250"/>
    <xdr:pic>
      <xdr:nvPicPr>
        <xdr:cNvPr id="742" name="Гидравлическая группа отопления левая Deluxe S Navien 30015734A" descr="33099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755</xdr:row>
      <xdr:rowOff>95250</xdr:rowOff>
    </xdr:from>
    <xdr:ext cx="1238250" cy="1238250"/>
    <xdr:pic>
      <xdr:nvPicPr>
        <xdr:cNvPr id="743" name="Прокладка теплообменника ГВС Deluxe S Navien 20035234B" descr="33100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756</xdr:row>
      <xdr:rowOff>95250</xdr:rowOff>
    </xdr:from>
    <xdr:ext cx="1238250" cy="1238250"/>
    <xdr:pic>
      <xdr:nvPicPr>
        <xdr:cNvPr id="744" name="Кольцо теплообменника упорное металлическое Navien Deluxe ACE 20018744B" descr="33101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757</xdr:row>
      <xdr:rowOff>95250</xdr:rowOff>
    </xdr:from>
    <xdr:ext cx="1238250" cy="1238250"/>
    <xdr:pic>
      <xdr:nvPicPr>
        <xdr:cNvPr id="745" name="Горелка пилотная 1443-100 аналог 1443-520" descr="33142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758</xdr:row>
      <xdr:rowOff>95250</xdr:rowOff>
    </xdr:from>
    <xdr:ext cx="1238250" cy="1238250"/>
    <xdr:pic>
      <xdr:nvPicPr>
        <xdr:cNvPr id="746" name="Плата управления Ferroli Vitabel, Fortuna 46562960" descr="33333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759</xdr:row>
      <xdr:rowOff>95250</xdr:rowOff>
    </xdr:from>
    <xdr:ext cx="1238250" cy="1238250"/>
    <xdr:pic>
      <xdr:nvPicPr>
        <xdr:cNvPr id="747" name="Расширительный бак 6л Ferroli Vitabel, Divabel 90260930" descr="33334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760</xdr:row>
      <xdr:rowOff>95250</xdr:rowOff>
    </xdr:from>
    <xdr:ext cx="1238250" cy="1238250"/>
    <xdr:pic>
      <xdr:nvPicPr>
        <xdr:cNvPr id="748" name="Воздухоотводчик Ferroli Vitabel, Fortuna 46160140" descr="33336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761</xdr:row>
      <xdr:rowOff>95250</xdr:rowOff>
    </xdr:from>
    <xdr:ext cx="1238250" cy="1238250"/>
    <xdr:pic>
      <xdr:nvPicPr>
        <xdr:cNvPr id="749" name="Горелка пилотная Ferroli Torino 7248013" descr="33337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762</xdr:row>
      <xdr:rowOff>95250</xdr:rowOff>
    </xdr:from>
    <xdr:ext cx="1238250" cy="1238250"/>
    <xdr:pic>
      <xdr:nvPicPr>
        <xdr:cNvPr id="750" name="Газовый клапан TGV 307 Ferroli Torino 902612300" descr="33338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763</xdr:row>
      <xdr:rowOff>95250</xdr:rowOff>
    </xdr:from>
    <xdr:ext cx="1238250" cy="1238250"/>
    <xdr:pic>
      <xdr:nvPicPr>
        <xdr:cNvPr id="751" name="Термостат биметаллический +75*С Ferroli Torino 7248045" descr="33340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764</xdr:row>
      <xdr:rowOff>95250</xdr:rowOff>
    </xdr:from>
    <xdr:ext cx="1238250" cy="1238250"/>
    <xdr:pic>
      <xdr:nvPicPr>
        <xdr:cNvPr id="752" name="Термостат по перегреву +95*C Ferroli Torino 7248044" descr="33341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765</xdr:row>
      <xdr:rowOff>95250</xdr:rowOff>
    </xdr:from>
    <xdr:ext cx="1238250" cy="1238250"/>
    <xdr:pic>
      <xdr:nvPicPr>
        <xdr:cNvPr id="753" name="Датчик NTC ГВС Ferroli Divatech, Bluehelix 3980I070" descr="33342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766</xdr:row>
      <xdr:rowOff>95250</xdr:rowOff>
    </xdr:from>
    <xdr:ext cx="1238250" cy="1238250"/>
    <xdr:pic>
      <xdr:nvPicPr>
        <xdr:cNvPr id="754" name="Реле минимального давления Ferroli Divatech, Bluehelix 3980I080" descr="33343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767</xdr:row>
      <xdr:rowOff>95250</xdr:rowOff>
    </xdr:from>
    <xdr:ext cx="1238250" cy="1238250"/>
    <xdr:pic>
      <xdr:nvPicPr>
        <xdr:cNvPr id="755" name="Кран подпитки Ferroli Bluehelix 3980I050" descr="33344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768</xdr:row>
      <xdr:rowOff>95250</xdr:rowOff>
    </xdr:from>
    <xdr:ext cx="1238250" cy="1238250"/>
    <xdr:pic>
      <xdr:nvPicPr>
        <xdr:cNvPr id="756" name="Прокладка горелки Ferroli Bluehelix 3980H880" descr="33345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769</xdr:row>
      <xdr:rowOff>95250</xdr:rowOff>
    </xdr:from>
    <xdr:ext cx="1238250" cy="1238250"/>
    <xdr:pic>
      <xdr:nvPicPr>
        <xdr:cNvPr id="757" name="Датчик температуры дымовых газов Ferroli Bluehelix 39845890" descr="33346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770</xdr:row>
      <xdr:rowOff>95250</xdr:rowOff>
    </xdr:from>
    <xdr:ext cx="1238250" cy="1238250"/>
    <xdr:pic>
      <xdr:nvPicPr>
        <xdr:cNvPr id="758" name="Датчик NTC отопления Ferroli Bluehelix 39810220" descr="33347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771</xdr:row>
      <xdr:rowOff>95250</xdr:rowOff>
    </xdr:from>
    <xdr:ext cx="1238250" cy="1238250"/>
    <xdr:pic>
      <xdr:nvPicPr>
        <xdr:cNvPr id="759" name="Сервопривод Ferroli Bluehelix, Divatech 3980I090" descr="33348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772</xdr:row>
      <xdr:rowOff>95250</xdr:rowOff>
    </xdr:from>
    <xdr:ext cx="1238250" cy="1238250"/>
    <xdr:pic>
      <xdr:nvPicPr>
        <xdr:cNvPr id="760" name="Электрод розжига Ferroli Bluehelix 3980S020" descr="33349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773</xdr:row>
      <xdr:rowOff>95250</xdr:rowOff>
    </xdr:from>
    <xdr:ext cx="1238250" cy="1238250"/>
    <xdr:pic>
      <xdr:nvPicPr>
        <xdr:cNvPr id="761" name="Датчик протока ГВС Ferroli Bluehelix, Divatech 3980I060" descr="33350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774</xdr:row>
      <xdr:rowOff>95250</xdr:rowOff>
    </xdr:from>
    <xdr:ext cx="1238250" cy="1238250"/>
    <xdr:pic>
      <xdr:nvPicPr>
        <xdr:cNvPr id="762" name="Датчик давления воды Ferroli Force 39806180" descr="33353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775</xdr:row>
      <xdr:rowOff>95250</xdr:rowOff>
    </xdr:from>
    <xdr:ext cx="1238250" cy="1238250"/>
    <xdr:pic>
      <xdr:nvPicPr>
        <xdr:cNvPr id="763" name="Датчик дымовых газов Ferroli Force 39845080" descr="33354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776</xdr:row>
      <xdr:rowOff>95250</xdr:rowOff>
    </xdr:from>
    <xdr:ext cx="1238250" cy="1238250"/>
    <xdr:pic>
      <xdr:nvPicPr>
        <xdr:cNvPr id="764" name="Датчик безопасности Ferroli Force 3980P290" descr="33356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777</xdr:row>
      <xdr:rowOff>95250</xdr:rowOff>
    </xdr:from>
    <xdr:ext cx="1238250" cy="1238250"/>
    <xdr:pic>
      <xdr:nvPicPr>
        <xdr:cNvPr id="765" name="Электрод розжига Ferroli Force 3980P280" descr="33357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778</xdr:row>
      <xdr:rowOff>95250</xdr:rowOff>
    </xdr:from>
    <xdr:ext cx="1238250" cy="1238250"/>
    <xdr:pic>
      <xdr:nvPicPr>
        <xdr:cNvPr id="766" name="Нагреватель ТЭН 6кВт Ferroli Tor 902625590" descr="33359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779</xdr:row>
      <xdr:rowOff>95250</xdr:rowOff>
    </xdr:from>
    <xdr:ext cx="1238250" cy="1238250"/>
    <xdr:pic>
      <xdr:nvPicPr>
        <xdr:cNvPr id="767" name="Нагреватель ТЭН 9кВт Ferroli Tor 902625610" descr="33360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780</xdr:row>
      <xdr:rowOff>95250</xdr:rowOff>
    </xdr:from>
    <xdr:ext cx="1238250" cy="1238250"/>
    <xdr:pic>
      <xdr:nvPicPr>
        <xdr:cNvPr id="768" name="Нагреватель ТЭН 12кВт Ferroli Tor 902625630" descr="33361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781</xdr:row>
      <xdr:rowOff>95250</xdr:rowOff>
    </xdr:from>
    <xdr:ext cx="1238250" cy="1238250"/>
    <xdr:pic>
      <xdr:nvPicPr>
        <xdr:cNvPr id="769" name="Электроды комплект Ferroli Pegasus 39814080" descr="33362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782</xdr:row>
      <xdr:rowOff>95250</xdr:rowOff>
    </xdr:from>
    <xdr:ext cx="1238250" cy="1238250"/>
    <xdr:pic>
      <xdr:nvPicPr>
        <xdr:cNvPr id="770" name="Термостат регулируемый Ferroli Pegasus D 39802290" descr="33365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783</xdr:row>
      <xdr:rowOff>95250</xdr:rowOff>
    </xdr:from>
    <xdr:ext cx="1238250" cy="1238250"/>
    <xdr:pic>
      <xdr:nvPicPr>
        <xdr:cNvPr id="771" name="Термостат 110*С Ferroli Pegasus 39816810" descr="33366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784</xdr:row>
      <xdr:rowOff>95250</xdr:rowOff>
    </xdr:from>
    <xdr:ext cx="1238250" cy="1238250"/>
    <xdr:pic>
      <xdr:nvPicPr>
        <xdr:cNvPr id="772" name="Термостат дымовых газов Ferroli Pegasus 39816110" descr="33367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785</xdr:row>
      <xdr:rowOff>95250</xdr:rowOff>
    </xdr:from>
    <xdr:ext cx="1238250" cy="1238250"/>
    <xdr:pic>
      <xdr:nvPicPr>
        <xdr:cNvPr id="773" name="Термостат 110*С Ferroli Pegasus 39813600" descr="33368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786</xdr:row>
      <xdr:rowOff>95250</xdr:rowOff>
    </xdr:from>
    <xdr:ext cx="1238250" cy="1238250"/>
    <xdr:pic>
      <xdr:nvPicPr>
        <xdr:cNvPr id="774" name="Термостат регулируемый Ferroli Pegasus 39804010" descr="33369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787</xdr:row>
      <xdr:rowOff>95250</xdr:rowOff>
    </xdr:from>
    <xdr:ext cx="1238250" cy="1238250"/>
    <xdr:pic>
      <xdr:nvPicPr>
        <xdr:cNvPr id="775" name="Гильза 1/2&quot; L250мм Ferroli Pegasus 39816760" descr="33370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788</xdr:row>
      <xdr:rowOff>95250</xdr:rowOff>
    </xdr:from>
    <xdr:ext cx="1238250" cy="1238250"/>
    <xdr:pic>
      <xdr:nvPicPr>
        <xdr:cNvPr id="776" name="Циркуляционный насос Navien Deluxe S/ONE 13-35K 30033192A" descr="33378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789</xdr:row>
      <xdr:rowOff>95250</xdr:rowOff>
    </xdr:from>
    <xdr:ext cx="1238250" cy="1238250"/>
    <xdr:pic>
      <xdr:nvPicPr>
        <xdr:cNvPr id="777" name="Газовый клапан Navien NGB210/350 30020818A" descr="33571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790</xdr:row>
      <xdr:rowOff>95250</xdr:rowOff>
    </xdr:from>
    <xdr:ext cx="1238250" cy="1238250"/>
    <xdr:pic>
      <xdr:nvPicPr>
        <xdr:cNvPr id="778" name="Блок управления плата Navien NGB210 30029349A" descr="33572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791</xdr:row>
      <xdr:rowOff>95250</xdr:rowOff>
    </xdr:from>
    <xdr:ext cx="1238250" cy="1238250"/>
    <xdr:pic>
      <xdr:nvPicPr>
        <xdr:cNvPr id="779" name="Микровыключатель НЕВА 4610 3 провода" descr="33629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792</xdr:row>
      <xdr:rowOff>95250</xdr:rowOff>
    </xdr:from>
    <xdr:ext cx="1238250" cy="1238250"/>
    <xdr:pic>
      <xdr:nvPicPr>
        <xdr:cNvPr id="780" name="Камера сгорания в сборе Navien АТМО 13-16А 300033394A" descr="33635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793</xdr:row>
      <xdr:rowOff>95250</xdr:rowOff>
    </xdr:from>
    <xdr:ext cx="1238250" cy="1238250"/>
    <xdr:pic>
      <xdr:nvPicPr>
        <xdr:cNvPr id="781" name="Камера сгорания в сборе Navien АТМО 20-24А 30003395A" descr="33636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794</xdr:row>
      <xdr:rowOff>95250</xdr:rowOff>
    </xdr:from>
    <xdr:ext cx="1238250" cy="1238250"/>
    <xdr:pic>
      <xdr:nvPicPr>
        <xdr:cNvPr id="782" name="Коллектор дымовых газов 13-24 Navien Deluxe C/S/ONE 30020327A" descr="33765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795</xdr:row>
      <xdr:rowOff>95250</xdr:rowOff>
    </xdr:from>
    <xdr:ext cx="1238250" cy="1238250"/>
    <xdr:pic>
      <xdr:nvPicPr>
        <xdr:cNvPr id="783" name="Коллектор дымовых газов Navien Deluxe C/S/ONE 30020348A" descr="3376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796</xdr:row>
      <xdr:rowOff>95250</xdr:rowOff>
    </xdr:from>
    <xdr:ext cx="1238250" cy="1238250"/>
    <xdr:pic>
      <xdr:nvPicPr>
        <xdr:cNvPr id="784" name="Магнитный пускатель Navien EQB 12-15HW 30018067A" descr="33767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797</xdr:row>
      <xdr:rowOff>95250</xdr:rowOff>
    </xdr:from>
    <xdr:ext cx="1238250" cy="1238250"/>
    <xdr:pic>
      <xdr:nvPicPr>
        <xdr:cNvPr id="785" name="Расширительный бак Navien NGB210 13-24 20024977B" descr="33769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798</xdr:row>
      <xdr:rowOff>95250</xdr:rowOff>
    </xdr:from>
    <xdr:ext cx="1238250" cy="1238250"/>
    <xdr:pic>
      <xdr:nvPicPr>
        <xdr:cNvPr id="786" name="Теплообменник ГВС NGB210 13-24 Navien 30019441A" descr="33770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799</xdr:row>
      <xdr:rowOff>95250</xdr:rowOff>
    </xdr:from>
    <xdr:ext cx="1238250" cy="1238250"/>
    <xdr:pic>
      <xdr:nvPicPr>
        <xdr:cNvPr id="787" name="Трубка запальника Кебер УГ-29-35-4-30 ТС17-10.00.000-06" descr="33786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800</xdr:row>
      <xdr:rowOff>95250</xdr:rowOff>
    </xdr:from>
    <xdr:ext cx="1238250" cy="1238250"/>
    <xdr:pic>
      <xdr:nvPicPr>
        <xdr:cNvPr id="788" name="Коллектор для сжиженного газа NGB210 13-24 Navien 30027935A" descr="33895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801</xdr:row>
      <xdr:rowOff>95250</xdr:rowOff>
    </xdr:from>
    <xdr:ext cx="1238250" cy="1238250"/>
    <xdr:pic>
      <xdr:nvPicPr>
        <xdr:cNvPr id="789" name="Ремкомплект для ВПГ VilTerm S10/S11/S13" descr="33900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802</xdr:row>
      <xdr:rowOff>95250</xdr:rowOff>
    </xdr:from>
    <xdr:ext cx="1238250" cy="1238250"/>
    <xdr:pic>
      <xdr:nvPicPr>
        <xdr:cNvPr id="790" name="Циркуляционный насос Navien Deluxe S/ONE 13-35K 30031290A" descr="34076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803</xdr:row>
      <xdr:rowOff>95250</xdr:rowOff>
    </xdr:from>
    <xdr:ext cx="1238250" cy="1238250"/>
    <xdr:pic>
      <xdr:nvPicPr>
        <xdr:cNvPr id="791" name="Насос топливный плунжерный LFA/LST 21-240К Navien 30004239B" descr="34077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804</xdr:row>
      <xdr:rowOff>95250</xdr:rowOff>
    </xdr:from>
    <xdr:ext cx="1238250" cy="1238250"/>
    <xdr:pic>
      <xdr:nvPicPr>
        <xdr:cNvPr id="792" name="Пульт дистанционного управления NR-15SW Navien Deluxe S/C/Е 30021088B" descr="34078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805</xdr:row>
      <xdr:rowOff>95250</xdr:rowOff>
    </xdr:from>
    <xdr:ext cx="1238250" cy="1238250"/>
    <xdr:pic>
      <xdr:nvPicPr>
        <xdr:cNvPr id="793" name="Ремкомплект водяного узла ВПГ Siberia Dream" descr="34165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806</xdr:row>
      <xdr:rowOff>95250</xdr:rowOff>
    </xdr:from>
    <xdr:ext cx="1238250" cy="1238250"/>
    <xdr:pic>
      <xdr:nvPicPr>
        <xdr:cNvPr id="794" name="ТЭН для электроплиты 1000 Вт 701000 Мечта,Злата" descr="34174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807</xdr:row>
      <xdr:rowOff>95250</xdr:rowOff>
    </xdr:from>
    <xdr:ext cx="1238250" cy="1238250"/>
    <xdr:pic>
      <xdr:nvPicPr>
        <xdr:cNvPr id="795" name="Блок управления плата Navien Deluxe ONE 30 30024760B" descr="34227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808</xdr:row>
      <xdr:rowOff>95250</xdr:rowOff>
    </xdr:from>
    <xdr:ext cx="1238250" cy="1238250"/>
    <xdr:pic>
      <xdr:nvPicPr>
        <xdr:cNvPr id="796" name="Манометр NGB210 Navien 30023797A" descr="34228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809</xdr:row>
      <xdr:rowOff>95250</xdr:rowOff>
    </xdr:from>
    <xdr:ext cx="1238250" cy="1238250"/>
    <xdr:pic>
      <xdr:nvPicPr>
        <xdr:cNvPr id="797" name="Патрубок-адаптер контура ОВ(вход)фильтр-грязевик Navien Deluxe S 13-35K 30020272A" descr="34229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810</xdr:row>
      <xdr:rowOff>95250</xdr:rowOff>
    </xdr:from>
    <xdr:ext cx="1238250" cy="1238250"/>
    <xdr:pic>
      <xdr:nvPicPr>
        <xdr:cNvPr id="798" name="Сильфон L-1000мм без гайки Арбат" descr="34300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811</xdr:row>
      <xdr:rowOff>95250</xdr:rowOff>
    </xdr:from>
    <xdr:ext cx="1238250" cy="1238250"/>
    <xdr:pic>
      <xdr:nvPicPr>
        <xdr:cNvPr id="799" name="Гидроузел датчика протока с краном подпитки Navien Deluxe 30К 30019904A" descr="34307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812</xdr:row>
      <xdr:rowOff>95250</xdr:rowOff>
    </xdr:from>
    <xdr:ext cx="1238250" cy="1238250"/>
    <xdr:pic>
      <xdr:nvPicPr>
        <xdr:cNvPr id="800" name="Гидроузел датчика протока с краном подпитки Navien Deluxe 35K 30013089A" descr="34309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813</xdr:row>
      <xdr:rowOff>95250</xdr:rowOff>
    </xdr:from>
    <xdr:ext cx="1238250" cy="1238250"/>
    <xdr:pic>
      <xdr:nvPicPr>
        <xdr:cNvPr id="801" name="Гидроузел c трехходовым клапаном в сборе Deluxe ONE Navien 30024434A" descr="34311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814</xdr:row>
      <xdr:rowOff>95250</xdr:rowOff>
    </xdr:from>
    <xdr:ext cx="1238250" cy="1238250"/>
    <xdr:pic>
      <xdr:nvPicPr>
        <xdr:cNvPr id="802" name="Гидроузел с фильтром Navien Deluxe E/C 30018927A" descr="34312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815</xdr:row>
      <xdr:rowOff>95250</xdr:rowOff>
    </xdr:from>
    <xdr:ext cx="1238250" cy="1238250"/>
    <xdr:pic>
      <xdr:nvPicPr>
        <xdr:cNvPr id="803" name="Патрубок-адаптер ГВС Navien Deluxe S 24 30015722A" descr="34316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816</xdr:row>
      <xdr:rowOff>95250</xdr:rowOff>
    </xdr:from>
    <xdr:ext cx="1238250" cy="1238250"/>
    <xdr:pic>
      <xdr:nvPicPr>
        <xdr:cNvPr id="804" name="Патрубок-адаптер ГВС Navien Deluxe S 35 30015724A" descr="34317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817</xdr:row>
      <xdr:rowOff>95250</xdr:rowOff>
    </xdr:from>
    <xdr:ext cx="1238250" cy="1238250"/>
    <xdr:pic>
      <xdr:nvPicPr>
        <xdr:cNvPr id="805" name="Адаптер для насоса Navien Deluxe C/E 20044645A" descr="34318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818</xdr:row>
      <xdr:rowOff>95250</xdr:rowOff>
    </xdr:from>
    <xdr:ext cx="1238250" cy="1238250"/>
    <xdr:pic>
      <xdr:nvPicPr>
        <xdr:cNvPr id="806" name="Кольцо теплообменника упорное металлическое Navien Deluxe Deluxe Plus Prime 20021730B" descr="34319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819</xdr:row>
      <xdr:rowOff>95250</xdr:rowOff>
    </xdr:from>
    <xdr:ext cx="1238250" cy="1238250"/>
    <xdr:pic>
      <xdr:nvPicPr>
        <xdr:cNvPr id="807" name="Обратный клапан Navien Deluxe S/E 30015223A" descr="34320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820</xdr:row>
      <xdr:rowOff>95250</xdr:rowOff>
    </xdr:from>
    <xdr:ext cx="1238250" cy="1238250"/>
    <xdr:pic>
      <xdr:nvPicPr>
        <xdr:cNvPr id="808" name="Входной адаптер теплообменника  Deluxe ONE Navien 30022780A" descr="34321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821</xdr:row>
      <xdr:rowOff>95250</xdr:rowOff>
    </xdr:from>
    <xdr:ext cx="1238250" cy="1238250"/>
    <xdr:pic>
      <xdr:nvPicPr>
        <xdr:cNvPr id="809" name="Угловой фитинг обратной линии гидрогруппы Navien Deluxe ONE 20048053A" descr="34322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822</xdr:row>
      <xdr:rowOff>95250</xdr:rowOff>
    </xdr:from>
    <xdr:ext cx="1238250" cy="1238250"/>
    <xdr:pic>
      <xdr:nvPicPr>
        <xdr:cNvPr id="810" name="Прокладка камеры сгорания Navien Deluxe 30K 20035355A" descr="34324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823</xdr:row>
      <xdr:rowOff>95250</xdr:rowOff>
    </xdr:from>
    <xdr:ext cx="1238250" cy="1238250"/>
    <xdr:pic>
      <xdr:nvPicPr>
        <xdr:cNvPr id="811" name="Прокладка камеры сгорания Navien Deluxe 35-40K 20035356A" descr="34325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824</xdr:row>
      <xdr:rowOff>95250</xdr:rowOff>
    </xdr:from>
    <xdr:ext cx="1238250" cy="1238250"/>
    <xdr:pic>
      <xdr:nvPicPr>
        <xdr:cNvPr id="812" name="Прокладка камеры сгорания Navien Prime 13-24K 20035357A" descr="34326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825</xdr:row>
      <xdr:rowOff>95250</xdr:rowOff>
    </xdr:from>
    <xdr:ext cx="1238250" cy="1238250"/>
    <xdr:pic>
      <xdr:nvPicPr>
        <xdr:cNvPr id="813" name="Кольцо уплотнительное Navien 20029644A" descr="34327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826</xdr:row>
      <xdr:rowOff>95250</xdr:rowOff>
    </xdr:from>
    <xdr:ext cx="1238250" cy="1238250"/>
    <xdr:pic>
      <xdr:nvPicPr>
        <xdr:cNvPr id="814" name="Патрубок контура ОВ проходной(вход)Navien Deluxe S 20035229A" descr="34329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827</xdr:row>
      <xdr:rowOff>95250</xdr:rowOff>
    </xdr:from>
    <xdr:ext cx="1238250" cy="1238250"/>
    <xdr:pic>
      <xdr:nvPicPr>
        <xdr:cNvPr id="815" name="Термопара 600мм универсальная М8" descr="34406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828</xdr:row>
      <xdr:rowOff>95250</xdr:rowOff>
    </xdr:from>
    <xdr:ext cx="1238250" cy="1238250"/>
    <xdr:pic>
      <xdr:nvPicPr>
        <xdr:cNvPr id="816" name="Электроды розжига Navien Deluxe S/C/E/ONE 13-24 30022103B" descr="34436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829</xdr:row>
      <xdr:rowOff>95250</xdr:rowOff>
    </xdr:from>
    <xdr:ext cx="1238250" cy="1238250"/>
    <xdr:pic>
      <xdr:nvPicPr>
        <xdr:cNvPr id="817" name="Камера сгорания Deluxe S/C/ONE 30-35K Navien 30020349A" descr="34438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830</xdr:row>
      <xdr:rowOff>95250</xdr:rowOff>
    </xdr:from>
    <xdr:ext cx="1238250" cy="1238250"/>
    <xdr:pic>
      <xdr:nvPicPr>
        <xdr:cNvPr id="818" name="Пульт управления встроенный Navien Deluxe Plus 30015217B" descr="34439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831</xdr:row>
      <xdr:rowOff>95250</xdr:rowOff>
    </xdr:from>
    <xdr:ext cx="1238250" cy="1238250"/>
    <xdr:pic>
      <xdr:nvPicPr>
        <xdr:cNvPr id="819" name="Вентилятор Deluxe E Navien 30022769A" descr="34440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832</xdr:row>
      <xdr:rowOff>95250</xdr:rowOff>
    </xdr:from>
    <xdr:ext cx="1238250" cy="1238250"/>
    <xdr:pic>
      <xdr:nvPicPr>
        <xdr:cNvPr id="820" name="Датчик по перегреву Navien Deluxe C/E 30002577A" descr="34441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833</xdr:row>
      <xdr:rowOff>95250</xdr:rowOff>
    </xdr:from>
    <xdr:ext cx="1238250" cy="1238250"/>
    <xdr:pic>
      <xdr:nvPicPr>
        <xdr:cNvPr id="821" name="Кронштейн металлический крепежный для насоса Navien Deluxe S/ONE 30033137A" descr="34442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834</xdr:row>
      <xdr:rowOff>95250</xdr:rowOff>
    </xdr:from>
    <xdr:ext cx="1238250" cy="1238250"/>
    <xdr:pic>
      <xdr:nvPicPr>
        <xdr:cNvPr id="822" name="Тэн для стиральной машины 1600W с датчиком L-175,R-11,M-135 (3121513/34060)" descr="34464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835</xdr:row>
      <xdr:rowOff>95250</xdr:rowOff>
    </xdr:from>
    <xdr:ext cx="1238250" cy="1238250"/>
    <xdr:pic>
      <xdr:nvPicPr>
        <xdr:cNvPr id="823" name="Тэн для сттральной машины 2000W с датчиком L-230,R-11,M-175(33121502)" descr="34465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836</xdr:row>
      <xdr:rowOff>95250</xdr:rowOff>
    </xdr:from>
    <xdr:ext cx="1238250" cy="1238250"/>
    <xdr:pic>
      <xdr:nvPicPr>
        <xdr:cNvPr id="824" name="Форсунка на дизтопливо Navien LST 50-60KR 20010495A" descr="34475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837</xdr:row>
      <xdr:rowOff>95250</xdr:rowOff>
    </xdr:from>
    <xdr:ext cx="1238250" cy="1238250"/>
    <xdr:pic>
      <xdr:nvPicPr>
        <xdr:cNvPr id="825" name="Циркуляционный насос Navien Deluxe C/E 13-35K 30034160A" descr="34476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838</xdr:row>
      <xdr:rowOff>95250</xdr:rowOff>
    </xdr:from>
    <xdr:ext cx="1238250" cy="1238250"/>
    <xdr:pic>
      <xdr:nvPicPr>
        <xdr:cNvPr id="826" name="Датчик по перегреву 35-40К Navien ACE Deluxe 30023954A (стар.30002558A)" descr="34508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839</xdr:row>
      <xdr:rowOff>95250</xdr:rowOff>
    </xdr:from>
    <xdr:ext cx="1238250" cy="1238250"/>
    <xdr:pic>
      <xdr:nvPicPr>
        <xdr:cNvPr id="827" name="Гидравлическая группа ГВС правая с датчиком протока и краном подпитки Navien NGB 210/150 20040869B" descr="34540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840</xdr:row>
      <xdr:rowOff>95250</xdr:rowOff>
    </xdr:from>
    <xdr:ext cx="1238250" cy="1238250"/>
    <xdr:pic>
      <xdr:nvPicPr>
        <xdr:cNvPr id="828" name="Анод магниевый L210 D18 M4x10(100429)" descr="34573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841</xdr:row>
      <xdr:rowOff>95250</xdr:rowOff>
    </xdr:from>
    <xdr:ext cx="1238250" cy="1238250"/>
    <xdr:pic>
      <xdr:nvPicPr>
        <xdr:cNvPr id="829" name="Ремкомплект уплотнительных колец для котлов Navien Deluxe,ACE,ATMO,PRIME(на 1 котел)" descr="34605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42"/>
  <sheetViews>
    <sheetView tabSelected="1" workbookViewId="0" showGridLines="true" showRowColHeaders="1">
      <selection activeCell="A13" sqref="A13:D842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1332.0</v>
      </c>
    </row>
    <row r="16" spans="1:4" customHeight="1" ht="130">
      <c r="A16"/>
      <c r="B16" s="10" t="str">
        <f>""</f>
        <v/>
      </c>
      <c r="C16" s="11" t="s">
        <v>14</v>
      </c>
      <c r="D16" s="12">
        <v>2070.0</v>
      </c>
    </row>
    <row r="17" spans="1:4" customHeight="1" ht="130">
      <c r="A17"/>
      <c r="B17" s="10" t="str">
        <f>"04700"</f>
        <v>04700</v>
      </c>
      <c r="C17" s="11" t="s">
        <v>15</v>
      </c>
      <c r="D17" s="12">
        <v>127.0</v>
      </c>
    </row>
    <row r="18" spans="1:4" customHeight="1" ht="130">
      <c r="A18"/>
      <c r="B18" s="10" t="str">
        <f>"04701"</f>
        <v>04701</v>
      </c>
      <c r="C18" s="11" t="s">
        <v>16</v>
      </c>
      <c r="D18" s="12">
        <v>44.0</v>
      </c>
    </row>
    <row r="19" spans="1:4" customHeight="1" ht="130">
      <c r="A19"/>
      <c r="B19" s="10" t="str">
        <f>"04705"</f>
        <v>04705</v>
      </c>
      <c r="C19" s="11" t="s">
        <v>17</v>
      </c>
      <c r="D19" s="12">
        <v>220.0</v>
      </c>
    </row>
    <row r="20" spans="1:4" customHeight="1" ht="130">
      <c r="A20"/>
      <c r="B20" s="10" t="str">
        <f>"04706"</f>
        <v>04706</v>
      </c>
      <c r="C20" s="11" t="s">
        <v>18</v>
      </c>
      <c r="D20" s="12">
        <v>280.0</v>
      </c>
    </row>
    <row r="21" spans="1:4" customHeight="1" ht="130">
      <c r="A21"/>
      <c r="B21" s="10" t="str">
        <f>"04707"</f>
        <v>04707</v>
      </c>
      <c r="C21" s="11" t="s">
        <v>19</v>
      </c>
      <c r="D21" s="12">
        <v>120.0</v>
      </c>
    </row>
    <row r="22" spans="1:4" customHeight="1" ht="130">
      <c r="A22"/>
      <c r="B22" s="10" t="str">
        <f>"04709"</f>
        <v>04709</v>
      </c>
      <c r="C22" s="11" t="s">
        <v>20</v>
      </c>
      <c r="D22" s="12">
        <v>125.0</v>
      </c>
    </row>
    <row r="23" spans="1:4" customHeight="1" ht="130">
      <c r="A23"/>
      <c r="B23" s="10" t="str">
        <f>"04710"</f>
        <v>04710</v>
      </c>
      <c r="C23" s="11" t="s">
        <v>21</v>
      </c>
      <c r="D23" s="12">
        <v>22.0</v>
      </c>
    </row>
    <row r="24" spans="1:4" customHeight="1" ht="130">
      <c r="A24"/>
      <c r="B24" s="10" t="str">
        <f>"04713"</f>
        <v>04713</v>
      </c>
      <c r="C24" s="11" t="s">
        <v>22</v>
      </c>
      <c r="D24" s="12">
        <v>250.0</v>
      </c>
    </row>
    <row r="25" spans="1:4" customHeight="1" ht="130">
      <c r="A25"/>
      <c r="B25" s="10" t="str">
        <f>"04714"</f>
        <v>04714</v>
      </c>
      <c r="C25" s="11" t="s">
        <v>23</v>
      </c>
      <c r="D25" s="12">
        <v>250.0</v>
      </c>
    </row>
    <row r="26" spans="1:4" customHeight="1" ht="130">
      <c r="A26"/>
      <c r="B26" s="10" t="str">
        <f>"04715"</f>
        <v>04715</v>
      </c>
      <c r="C26" s="11" t="s">
        <v>24</v>
      </c>
      <c r="D26" s="12">
        <v>290.0</v>
      </c>
    </row>
    <row r="27" spans="1:4" customHeight="1" ht="130">
      <c r="A27"/>
      <c r="B27" s="10" t="str">
        <f>"04718"</f>
        <v>04718</v>
      </c>
      <c r="C27" s="11" t="s">
        <v>25</v>
      </c>
      <c r="D27" s="12">
        <v>935.0</v>
      </c>
    </row>
    <row r="28" spans="1:4" customHeight="1" ht="130">
      <c r="A28"/>
      <c r="B28" s="10" t="str">
        <f>"04721"</f>
        <v>04721</v>
      </c>
      <c r="C28" s="11" t="s">
        <v>26</v>
      </c>
      <c r="D28" s="12">
        <v>935.0</v>
      </c>
    </row>
    <row r="29" spans="1:4" customHeight="1" ht="130">
      <c r="A29"/>
      <c r="B29" s="10" t="str">
        <f>"04723"</f>
        <v>04723</v>
      </c>
      <c r="C29" s="11" t="s">
        <v>27</v>
      </c>
      <c r="D29" s="12">
        <v>250.0</v>
      </c>
    </row>
    <row r="30" spans="1:4" customHeight="1" ht="130">
      <c r="A30"/>
      <c r="B30" s="10" t="str">
        <f>"04725"</f>
        <v>04725</v>
      </c>
      <c r="C30" s="11" t="s">
        <v>28</v>
      </c>
      <c r="D30" s="12">
        <v>1500.0</v>
      </c>
    </row>
    <row r="31" spans="1:4" customHeight="1" ht="130">
      <c r="A31"/>
      <c r="B31" s="10" t="str">
        <f>"04727"</f>
        <v>04727</v>
      </c>
      <c r="C31" s="11" t="s">
        <v>29</v>
      </c>
      <c r="D31" s="12">
        <v>1001.0</v>
      </c>
    </row>
    <row r="32" spans="1:4" customHeight="1" ht="130">
      <c r="A32"/>
      <c r="B32" s="10" t="str">
        <f>"04728"</f>
        <v>04728</v>
      </c>
      <c r="C32" s="11" t="s">
        <v>30</v>
      </c>
      <c r="D32" s="12">
        <v>1700.0</v>
      </c>
    </row>
    <row r="33" spans="1:4" customHeight="1" ht="130">
      <c r="A33"/>
      <c r="B33" s="10" t="str">
        <f>"04730"</f>
        <v>04730</v>
      </c>
      <c r="C33" s="11" t="s">
        <v>31</v>
      </c>
      <c r="D33" s="12">
        <v>902.0</v>
      </c>
    </row>
    <row r="34" spans="1:4" customHeight="1" ht="130">
      <c r="A34"/>
      <c r="B34" s="10" t="str">
        <f>"04731"</f>
        <v>04731</v>
      </c>
      <c r="C34" s="11" t="s">
        <v>32</v>
      </c>
      <c r="D34" s="12">
        <v>1600.0</v>
      </c>
    </row>
    <row r="35" spans="1:4" customHeight="1" ht="130">
      <c r="A35"/>
      <c r="B35" s="10" t="str">
        <f>"04733"</f>
        <v>04733</v>
      </c>
      <c r="C35" s="11" t="s">
        <v>33</v>
      </c>
      <c r="D35" s="12">
        <v>1045.0</v>
      </c>
    </row>
    <row r="36" spans="1:4" customHeight="1" ht="130">
      <c r="A36"/>
      <c r="B36" s="10" t="str">
        <f>"04734"</f>
        <v>04734</v>
      </c>
      <c r="C36" s="11" t="s">
        <v>34</v>
      </c>
      <c r="D36" s="12">
        <v>506.0</v>
      </c>
    </row>
    <row r="37" spans="1:4" customHeight="1" ht="130">
      <c r="A37"/>
      <c r="B37" s="10" t="str">
        <f>"04736"</f>
        <v>04736</v>
      </c>
      <c r="C37" s="11" t="s">
        <v>35</v>
      </c>
      <c r="D37" s="12">
        <v>1100.0</v>
      </c>
    </row>
    <row r="38" spans="1:4" customHeight="1" ht="130">
      <c r="A38"/>
      <c r="B38" s="10" t="str">
        <f>"04737"</f>
        <v>04737</v>
      </c>
      <c r="C38" s="11" t="s">
        <v>36</v>
      </c>
      <c r="D38" s="12">
        <v>1100.0</v>
      </c>
    </row>
    <row r="39" spans="1:4" customHeight="1" ht="130">
      <c r="A39"/>
      <c r="B39" s="10" t="str">
        <f>"04738"</f>
        <v>04738</v>
      </c>
      <c r="C39" s="11" t="s">
        <v>37</v>
      </c>
      <c r="D39" s="12">
        <v>1100.0</v>
      </c>
    </row>
    <row r="40" spans="1:4" customHeight="1" ht="130">
      <c r="A40"/>
      <c r="B40" s="10" t="str">
        <f>"04740"</f>
        <v>04740</v>
      </c>
      <c r="C40" s="11" t="s">
        <v>38</v>
      </c>
      <c r="D40" s="12">
        <v>3289.0</v>
      </c>
    </row>
    <row r="41" spans="1:4" customHeight="1" ht="130">
      <c r="A41"/>
      <c r="B41" s="10" t="str">
        <f>"04741"</f>
        <v>04741</v>
      </c>
      <c r="C41" s="11" t="s">
        <v>39</v>
      </c>
      <c r="D41" s="12">
        <v>3289.0</v>
      </c>
    </row>
    <row r="42" spans="1:4" customHeight="1" ht="130">
      <c r="A42"/>
      <c r="B42" s="10" t="str">
        <f>"04742"</f>
        <v>04742</v>
      </c>
      <c r="C42" s="11" t="s">
        <v>40</v>
      </c>
      <c r="D42" s="12">
        <v>3289.0</v>
      </c>
    </row>
    <row r="43" spans="1:4" customHeight="1" ht="130">
      <c r="A43"/>
      <c r="B43" s="10" t="str">
        <f>"04743"</f>
        <v>04743</v>
      </c>
      <c r="C43" s="11" t="s">
        <v>41</v>
      </c>
      <c r="D43" s="12">
        <v>890.0</v>
      </c>
    </row>
    <row r="44" spans="1:4" customHeight="1" ht="130">
      <c r="A44"/>
      <c r="B44" s="10" t="str">
        <f>"04744"</f>
        <v>04744</v>
      </c>
      <c r="C44" s="11" t="s">
        <v>42</v>
      </c>
      <c r="D44" s="12">
        <v>1540.0</v>
      </c>
    </row>
    <row r="45" spans="1:4" customHeight="1" ht="130">
      <c r="A45"/>
      <c r="B45" s="10" t="str">
        <f>"04745"</f>
        <v>04745</v>
      </c>
      <c r="C45" s="11" t="s">
        <v>43</v>
      </c>
      <c r="D45" s="12">
        <v>218.0</v>
      </c>
    </row>
    <row r="46" spans="1:4" customHeight="1" ht="130">
      <c r="A46"/>
      <c r="B46" s="10" t="str">
        <f>"04746"</f>
        <v>04746</v>
      </c>
      <c r="C46" s="11" t="s">
        <v>44</v>
      </c>
      <c r="D46" s="12">
        <v>218.0</v>
      </c>
    </row>
    <row r="47" spans="1:4" customHeight="1" ht="130">
      <c r="A47"/>
      <c r="B47" s="10" t="str">
        <f>"04747"</f>
        <v>04747</v>
      </c>
      <c r="C47" s="11" t="s">
        <v>45</v>
      </c>
      <c r="D47" s="12">
        <v>44.0</v>
      </c>
    </row>
    <row r="48" spans="1:4" customHeight="1" ht="130">
      <c r="A48"/>
      <c r="B48" s="10" t="str">
        <f>"04748"</f>
        <v>04748</v>
      </c>
      <c r="C48" s="11" t="s">
        <v>46</v>
      </c>
      <c r="D48" s="12">
        <v>138.0</v>
      </c>
    </row>
    <row r="49" spans="1:4" customHeight="1" ht="130">
      <c r="A49"/>
      <c r="B49" s="10" t="str">
        <f>"04750"</f>
        <v>04750</v>
      </c>
      <c r="C49" s="11" t="s">
        <v>47</v>
      </c>
      <c r="D49" s="12">
        <v>50.0</v>
      </c>
    </row>
    <row r="50" spans="1:4" customHeight="1" ht="130">
      <c r="A50"/>
      <c r="B50" s="10" t="str">
        <f>"04752"</f>
        <v>04752</v>
      </c>
      <c r="C50" s="11" t="s">
        <v>48</v>
      </c>
      <c r="D50" s="12">
        <v>50.0</v>
      </c>
    </row>
    <row r="51" spans="1:4" customHeight="1" ht="130">
      <c r="A51"/>
      <c r="B51" s="10" t="str">
        <f>"04780"</f>
        <v>04780</v>
      </c>
      <c r="C51" s="11" t="s">
        <v>49</v>
      </c>
      <c r="D51" s="12">
        <v>150.0</v>
      </c>
    </row>
    <row r="52" spans="1:4" customHeight="1" ht="130">
      <c r="A52"/>
      <c r="B52" s="10" t="str">
        <f>"04784"</f>
        <v>04784</v>
      </c>
      <c r="C52" s="11" t="s">
        <v>50</v>
      </c>
      <c r="D52" s="12">
        <v>250.0</v>
      </c>
    </row>
    <row r="53" spans="1:4" customHeight="1" ht="130">
      <c r="A53"/>
      <c r="B53" s="10" t="str">
        <f>"04823"</f>
        <v>04823</v>
      </c>
      <c r="C53" s="11" t="s">
        <v>51</v>
      </c>
      <c r="D53" s="12">
        <v>550.0</v>
      </c>
    </row>
    <row r="54" spans="1:4" customHeight="1" ht="130">
      <c r="A54"/>
      <c r="B54" s="10" t="str">
        <f>"04827"</f>
        <v>04827</v>
      </c>
      <c r="C54" s="11" t="s">
        <v>52</v>
      </c>
      <c r="D54" s="12">
        <v>1000.0</v>
      </c>
    </row>
    <row r="55" spans="1:4" customHeight="1" ht="130">
      <c r="A55"/>
      <c r="B55" s="10" t="str">
        <f>"04856"</f>
        <v>04856</v>
      </c>
      <c r="C55" s="11" t="s">
        <v>53</v>
      </c>
      <c r="D55" s="12">
        <v>100.0</v>
      </c>
    </row>
    <row r="56" spans="1:4" customHeight="1" ht="130">
      <c r="A56"/>
      <c r="B56" s="10" t="str">
        <f>"04861"</f>
        <v>04861</v>
      </c>
      <c r="C56" s="11" t="s">
        <v>54</v>
      </c>
      <c r="D56" s="12">
        <v>5395.0</v>
      </c>
    </row>
    <row r="57" spans="1:4" customHeight="1" ht="130">
      <c r="A57"/>
      <c r="B57" s="10" t="str">
        <f>"04863"</f>
        <v>04863</v>
      </c>
      <c r="C57" s="11" t="s">
        <v>55</v>
      </c>
      <c r="D57" s="12">
        <v>590.0</v>
      </c>
    </row>
    <row r="58" spans="1:4" customHeight="1" ht="130">
      <c r="A58"/>
      <c r="B58" s="10" t="str">
        <f>"04891"</f>
        <v>04891</v>
      </c>
      <c r="C58" s="11" t="s">
        <v>56</v>
      </c>
      <c r="D58" s="12">
        <v>2470.0</v>
      </c>
    </row>
    <row r="59" spans="1:4" customHeight="1" ht="130">
      <c r="A59"/>
      <c r="B59" s="10" t="str">
        <f>"04892"</f>
        <v>04892</v>
      </c>
      <c r="C59" s="11" t="s">
        <v>57</v>
      </c>
      <c r="D59" s="12">
        <v>2470.0</v>
      </c>
    </row>
    <row r="60" spans="1:4" customHeight="1" ht="130">
      <c r="A60"/>
      <c r="B60" s="10" t="str">
        <f>"04906"</f>
        <v>04906</v>
      </c>
      <c r="C60" s="11" t="s">
        <v>58</v>
      </c>
      <c r="D60" s="12">
        <v>230.0</v>
      </c>
    </row>
    <row r="61" spans="1:4" customHeight="1" ht="130">
      <c r="A61"/>
      <c r="B61" s="10" t="str">
        <f>"04907"</f>
        <v>04907</v>
      </c>
      <c r="C61" s="11" t="s">
        <v>59</v>
      </c>
      <c r="D61" s="12">
        <v>312.0</v>
      </c>
    </row>
    <row r="62" spans="1:4" customHeight="1" ht="130">
      <c r="A62"/>
      <c r="B62" s="10" t="str">
        <f>"04908"</f>
        <v>04908</v>
      </c>
      <c r="C62" s="11" t="s">
        <v>60</v>
      </c>
      <c r="D62" s="12">
        <v>240.0</v>
      </c>
    </row>
    <row r="63" spans="1:4" customHeight="1" ht="130">
      <c r="A63"/>
      <c r="B63" s="10" t="str">
        <f>"04928"</f>
        <v>04928</v>
      </c>
      <c r="C63" s="11" t="s">
        <v>61</v>
      </c>
      <c r="D63" s="12">
        <v>135.0</v>
      </c>
    </row>
    <row r="64" spans="1:4" customHeight="1" ht="130">
      <c r="A64"/>
      <c r="B64" s="10" t="str">
        <f>"04929"</f>
        <v>04929</v>
      </c>
      <c r="C64" s="11" t="s">
        <v>62</v>
      </c>
      <c r="D64" s="12">
        <v>220.0</v>
      </c>
    </row>
    <row r="65" spans="1:4" customHeight="1" ht="130">
      <c r="A65"/>
      <c r="B65" s="10" t="str">
        <f>"04930"</f>
        <v>04930</v>
      </c>
      <c r="C65" s="11" t="s">
        <v>63</v>
      </c>
      <c r="D65" s="12">
        <v>220.0</v>
      </c>
    </row>
    <row r="66" spans="1:4" customHeight="1" ht="130">
      <c r="A66"/>
      <c r="B66" s="10" t="str">
        <f>"04932"</f>
        <v>04932</v>
      </c>
      <c r="C66" s="11" t="s">
        <v>64</v>
      </c>
      <c r="D66" s="12">
        <v>190.0</v>
      </c>
    </row>
    <row r="67" spans="1:4" customHeight="1" ht="130">
      <c r="A67"/>
      <c r="B67" s="10" t="str">
        <f>"04934"</f>
        <v>04934</v>
      </c>
      <c r="C67" s="11" t="s">
        <v>65</v>
      </c>
      <c r="D67" s="12">
        <v>720.0</v>
      </c>
    </row>
    <row r="68" spans="1:4" customHeight="1" ht="130">
      <c r="A68"/>
      <c r="B68" s="10" t="str">
        <f>"04935"</f>
        <v>04935</v>
      </c>
      <c r="C68" s="11" t="s">
        <v>66</v>
      </c>
      <c r="D68" s="12">
        <v>720.0</v>
      </c>
    </row>
    <row r="69" spans="1:4" customHeight="1" ht="130">
      <c r="A69"/>
      <c r="B69" s="10" t="str">
        <f>"04936"</f>
        <v>04936</v>
      </c>
      <c r="C69" s="11" t="s">
        <v>67</v>
      </c>
      <c r="D69" s="12">
        <v>608.0</v>
      </c>
    </row>
    <row r="70" spans="1:4" customHeight="1" ht="130">
      <c r="A70"/>
      <c r="B70" s="10" t="str">
        <f>"04939"</f>
        <v>04939</v>
      </c>
      <c r="C70" s="11" t="s">
        <v>68</v>
      </c>
      <c r="D70" s="12">
        <v>60.0</v>
      </c>
    </row>
    <row r="71" spans="1:4" customHeight="1" ht="130">
      <c r="A71"/>
      <c r="B71" s="10" t="str">
        <f>"04955"</f>
        <v>04955</v>
      </c>
      <c r="C71" s="11" t="s">
        <v>69</v>
      </c>
      <c r="D71" s="12">
        <v>430.0</v>
      </c>
    </row>
    <row r="72" spans="1:4" customHeight="1" ht="130">
      <c r="A72"/>
      <c r="B72" s="10" t="str">
        <f>"04956"</f>
        <v>04956</v>
      </c>
      <c r="C72" s="11" t="s">
        <v>70</v>
      </c>
      <c r="D72" s="12">
        <v>62.0</v>
      </c>
    </row>
    <row r="73" spans="1:4" customHeight="1" ht="130">
      <c r="A73"/>
      <c r="B73" s="10" t="str">
        <f>"04957"</f>
        <v>04957</v>
      </c>
      <c r="C73" s="11" t="s">
        <v>71</v>
      </c>
      <c r="D73" s="12">
        <v>140.0</v>
      </c>
    </row>
    <row r="74" spans="1:4" customHeight="1" ht="130">
      <c r="A74"/>
      <c r="B74" s="10" t="str">
        <f>"04958"</f>
        <v>04958</v>
      </c>
      <c r="C74" s="11" t="s">
        <v>72</v>
      </c>
      <c r="D74" s="12">
        <v>350.0</v>
      </c>
    </row>
    <row r="75" spans="1:4" customHeight="1" ht="130">
      <c r="A75"/>
      <c r="B75" s="10" t="str">
        <f>"04959"</f>
        <v>04959</v>
      </c>
      <c r="C75" s="11" t="s">
        <v>73</v>
      </c>
      <c r="D75" s="12">
        <v>93.0</v>
      </c>
    </row>
    <row r="76" spans="1:4" customHeight="1" ht="130">
      <c r="A76"/>
      <c r="B76" s="10" t="str">
        <f>"04960"</f>
        <v>04960</v>
      </c>
      <c r="C76" s="11" t="s">
        <v>74</v>
      </c>
      <c r="D76" s="12">
        <v>40.0</v>
      </c>
    </row>
    <row r="77" spans="1:4" customHeight="1" ht="130">
      <c r="A77"/>
      <c r="B77" s="10" t="str">
        <f>"04965"</f>
        <v>04965</v>
      </c>
      <c r="C77" s="11" t="s">
        <v>75</v>
      </c>
      <c r="D77" s="12">
        <v>35.0</v>
      </c>
    </row>
    <row r="78" spans="1:4" customHeight="1" ht="130">
      <c r="A78"/>
      <c r="B78" s="10" t="str">
        <f>"04968"</f>
        <v>04968</v>
      </c>
      <c r="C78" s="11" t="s">
        <v>76</v>
      </c>
      <c r="D78" s="12">
        <v>1000.0</v>
      </c>
    </row>
    <row r="79" spans="1:4" customHeight="1" ht="130">
      <c r="A79"/>
      <c r="B79" s="10" t="str">
        <f>"04969"</f>
        <v>04969</v>
      </c>
      <c r="C79" s="11" t="s">
        <v>77</v>
      </c>
      <c r="D79" s="12">
        <v>1000.0</v>
      </c>
    </row>
    <row r="80" spans="1:4" customHeight="1" ht="130">
      <c r="A80"/>
      <c r="B80" s="10" t="str">
        <f>"04970"</f>
        <v>04970</v>
      </c>
      <c r="C80" s="11" t="s">
        <v>78</v>
      </c>
      <c r="D80" s="12">
        <v>905.0</v>
      </c>
    </row>
    <row r="81" spans="1:4" customHeight="1" ht="130">
      <c r="A81"/>
      <c r="B81" s="10" t="str">
        <f>"04971"</f>
        <v>04971</v>
      </c>
      <c r="C81" s="11" t="s">
        <v>79</v>
      </c>
      <c r="D81" s="12">
        <v>905.0</v>
      </c>
    </row>
    <row r="82" spans="1:4" customHeight="1" ht="130">
      <c r="A82"/>
      <c r="B82" s="10" t="str">
        <f>"04974"</f>
        <v>04974</v>
      </c>
      <c r="C82" s="11" t="s">
        <v>80</v>
      </c>
      <c r="D82" s="12">
        <v>3315.0</v>
      </c>
    </row>
    <row r="83" spans="1:4" customHeight="1" ht="130">
      <c r="A83"/>
      <c r="B83" s="10" t="str">
        <f>"04975"</f>
        <v>04975</v>
      </c>
      <c r="C83" s="11" t="s">
        <v>81</v>
      </c>
      <c r="D83" s="12">
        <v>2970.0</v>
      </c>
    </row>
    <row r="84" spans="1:4" customHeight="1" ht="130">
      <c r="A84"/>
      <c r="B84" s="10" t="str">
        <f>"04985"</f>
        <v>04985</v>
      </c>
      <c r="C84" s="11" t="s">
        <v>82</v>
      </c>
      <c r="D84" s="12">
        <v>1300.0</v>
      </c>
    </row>
    <row r="85" spans="1:4" customHeight="1" ht="130">
      <c r="A85"/>
      <c r="B85" s="10" t="str">
        <f>"04986"</f>
        <v>04986</v>
      </c>
      <c r="C85" s="11" t="s">
        <v>83</v>
      </c>
      <c r="D85" s="12">
        <v>1300.0</v>
      </c>
    </row>
    <row r="86" spans="1:4" customHeight="1" ht="130">
      <c r="A86"/>
      <c r="B86" s="10" t="str">
        <f>"04987"</f>
        <v>04987</v>
      </c>
      <c r="C86" s="11" t="s">
        <v>84</v>
      </c>
      <c r="D86" s="12">
        <v>1300.0</v>
      </c>
    </row>
    <row r="87" spans="1:4" customHeight="1" ht="130">
      <c r="A87"/>
      <c r="B87" s="10" t="str">
        <f>"04988"</f>
        <v>04988</v>
      </c>
      <c r="C87" s="11" t="s">
        <v>85</v>
      </c>
      <c r="D87" s="12">
        <v>1300.0</v>
      </c>
    </row>
    <row r="88" spans="1:4" customHeight="1" ht="130">
      <c r="A88"/>
      <c r="B88" s="10" t="str">
        <f>"05000"</f>
        <v>05000</v>
      </c>
      <c r="C88" s="11" t="s">
        <v>86</v>
      </c>
      <c r="D88" s="12">
        <v>468.0</v>
      </c>
    </row>
    <row r="89" spans="1:4" customHeight="1" ht="130">
      <c r="A89"/>
      <c r="B89" s="10" t="str">
        <f>"05001"</f>
        <v>05001</v>
      </c>
      <c r="C89" s="11" t="s">
        <v>87</v>
      </c>
      <c r="D89" s="12">
        <v>130.0</v>
      </c>
    </row>
    <row r="90" spans="1:4" customHeight="1" ht="130">
      <c r="A90"/>
      <c r="B90" s="10" t="str">
        <f>"05002"</f>
        <v>05002</v>
      </c>
      <c r="C90" s="11" t="s">
        <v>88</v>
      </c>
      <c r="D90" s="12">
        <v>100.0</v>
      </c>
    </row>
    <row r="91" spans="1:4" customHeight="1" ht="130">
      <c r="A91"/>
      <c r="B91" s="10" t="str">
        <f>"05003"</f>
        <v>05003</v>
      </c>
      <c r="C91" s="11" t="s">
        <v>89</v>
      </c>
      <c r="D91" s="12">
        <v>403.0</v>
      </c>
    </row>
    <row r="92" spans="1:4" customHeight="1" ht="130">
      <c r="A92"/>
      <c r="B92" s="10" t="str">
        <f>"05004"</f>
        <v>05004</v>
      </c>
      <c r="C92" s="11" t="s">
        <v>90</v>
      </c>
      <c r="D92" s="12">
        <v>800.0</v>
      </c>
    </row>
    <row r="93" spans="1:4" customHeight="1" ht="130">
      <c r="A93"/>
      <c r="B93" s="10" t="str">
        <f>"05005"</f>
        <v>05005</v>
      </c>
      <c r="C93" s="11" t="s">
        <v>91</v>
      </c>
      <c r="D93" s="12">
        <v>870.0</v>
      </c>
    </row>
    <row r="94" spans="1:4" customHeight="1" ht="130">
      <c r="A94"/>
      <c r="B94" s="10" t="str">
        <f>"05007"</f>
        <v>05007</v>
      </c>
      <c r="C94" s="11" t="s">
        <v>92</v>
      </c>
      <c r="D94" s="12">
        <v>1030.0</v>
      </c>
    </row>
    <row r="95" spans="1:4" customHeight="1" ht="130">
      <c r="A95"/>
      <c r="B95" s="10" t="str">
        <f>"05009"</f>
        <v>05009</v>
      </c>
      <c r="C95" s="11" t="s">
        <v>93</v>
      </c>
      <c r="D95" s="12">
        <v>5700.0</v>
      </c>
    </row>
    <row r="96" spans="1:4" customHeight="1" ht="130">
      <c r="A96"/>
      <c r="B96" s="10" t="str">
        <f>"05010"</f>
        <v>05010</v>
      </c>
      <c r="C96" s="11" t="s">
        <v>94</v>
      </c>
      <c r="D96" s="12">
        <v>5780.0</v>
      </c>
    </row>
    <row r="97" spans="1:4" customHeight="1" ht="130">
      <c r="A97"/>
      <c r="B97" s="10" t="str">
        <f>"05014"</f>
        <v>05014</v>
      </c>
      <c r="C97" s="11" t="s">
        <v>95</v>
      </c>
      <c r="D97" s="12">
        <v>1600.0</v>
      </c>
    </row>
    <row r="98" spans="1:4" customHeight="1" ht="130">
      <c r="A98"/>
      <c r="B98" s="10" t="str">
        <f>"05015"</f>
        <v>05015</v>
      </c>
      <c r="C98" s="11" t="s">
        <v>96</v>
      </c>
      <c r="D98" s="12">
        <v>1600.0</v>
      </c>
    </row>
    <row r="99" spans="1:4" customHeight="1" ht="130">
      <c r="A99"/>
      <c r="B99" s="10" t="str">
        <f>"05016"</f>
        <v>05016</v>
      </c>
      <c r="C99" s="11" t="s">
        <v>97</v>
      </c>
      <c r="D99" s="12">
        <v>1600.0</v>
      </c>
    </row>
    <row r="100" spans="1:4" customHeight="1" ht="130">
      <c r="A100"/>
      <c r="B100" s="10" t="str">
        <f>"05017"</f>
        <v>05017</v>
      </c>
      <c r="C100" s="11" t="s">
        <v>98</v>
      </c>
      <c r="D100" s="12">
        <v>1600.0</v>
      </c>
    </row>
    <row r="101" spans="1:4" customHeight="1" ht="130">
      <c r="A101"/>
      <c r="B101" s="10" t="str">
        <f>"05018"</f>
        <v>05018</v>
      </c>
      <c r="C101" s="11" t="s">
        <v>99</v>
      </c>
      <c r="D101" s="12">
        <v>1600.0</v>
      </c>
    </row>
    <row r="102" spans="1:4" customHeight="1" ht="130">
      <c r="A102"/>
      <c r="B102" s="10" t="str">
        <f>"05019"</f>
        <v>05019</v>
      </c>
      <c r="C102" s="11" t="s">
        <v>100</v>
      </c>
      <c r="D102" s="12">
        <v>1600.0</v>
      </c>
    </row>
    <row r="103" spans="1:4" customHeight="1" ht="130">
      <c r="A103"/>
      <c r="B103" s="10" t="str">
        <f>"05021"</f>
        <v>05021</v>
      </c>
      <c r="C103" s="11" t="s">
        <v>101</v>
      </c>
      <c r="D103" s="12">
        <v>2100.0</v>
      </c>
    </row>
    <row r="104" spans="1:4" customHeight="1" ht="130">
      <c r="A104"/>
      <c r="B104" s="10" t="str">
        <f>"05022"</f>
        <v>05022</v>
      </c>
      <c r="C104" s="11" t="s">
        <v>102</v>
      </c>
      <c r="D104" s="12">
        <v>1600.0</v>
      </c>
    </row>
    <row r="105" spans="1:4" customHeight="1" ht="130">
      <c r="A105"/>
      <c r="B105" s="10" t="str">
        <f>"05025"</f>
        <v>05025</v>
      </c>
      <c r="C105" s="11" t="s">
        <v>103</v>
      </c>
      <c r="D105" s="12">
        <v>300.0</v>
      </c>
    </row>
    <row r="106" spans="1:4" customHeight="1" ht="130">
      <c r="A106"/>
      <c r="B106" s="10" t="str">
        <f>"05026"</f>
        <v>05026</v>
      </c>
      <c r="C106" s="11" t="s">
        <v>104</v>
      </c>
      <c r="D106" s="12">
        <v>330.0</v>
      </c>
    </row>
    <row r="107" spans="1:4" customHeight="1" ht="130">
      <c r="A107"/>
      <c r="B107" s="10" t="str">
        <f>"05028"</f>
        <v>05028</v>
      </c>
      <c r="C107" s="11" t="s">
        <v>105</v>
      </c>
      <c r="D107" s="12">
        <v>300.0</v>
      </c>
    </row>
    <row r="108" spans="1:4" customHeight="1" ht="130">
      <c r="A108"/>
      <c r="B108" s="10" t="str">
        <f>"05029"</f>
        <v>05029</v>
      </c>
      <c r="C108" s="11" t="s">
        <v>106</v>
      </c>
      <c r="D108" s="12">
        <v>370.0</v>
      </c>
    </row>
    <row r="109" spans="1:4" customHeight="1" ht="130">
      <c r="A109"/>
      <c r="B109" s="10" t="str">
        <f>"05030"</f>
        <v>05030</v>
      </c>
      <c r="C109" s="11" t="s">
        <v>107</v>
      </c>
      <c r="D109" s="12">
        <v>70.0</v>
      </c>
    </row>
    <row r="110" spans="1:4" customHeight="1" ht="130">
      <c r="A110"/>
      <c r="B110" s="10" t="str">
        <f>"05031"</f>
        <v>05031</v>
      </c>
      <c r="C110" s="11" t="s">
        <v>108</v>
      </c>
      <c r="D110" s="12">
        <v>30.0</v>
      </c>
    </row>
    <row r="111" spans="1:4" customHeight="1" ht="130">
      <c r="A111"/>
      <c r="B111" s="10" t="str">
        <f>"05032"</f>
        <v>05032</v>
      </c>
      <c r="C111" s="11" t="s">
        <v>109</v>
      </c>
      <c r="D111" s="12">
        <v>55.0</v>
      </c>
    </row>
    <row r="112" spans="1:4" customHeight="1" ht="130">
      <c r="A112"/>
      <c r="B112" s="10" t="str">
        <f>"05038"</f>
        <v>05038</v>
      </c>
      <c r="C112" s="11" t="s">
        <v>110</v>
      </c>
      <c r="D112" s="12">
        <v>172.0</v>
      </c>
    </row>
    <row r="113" spans="1:4" customHeight="1" ht="130">
      <c r="A113"/>
      <c r="B113" s="10" t="str">
        <f>"05064"</f>
        <v>05064</v>
      </c>
      <c r="C113" s="11" t="s">
        <v>111</v>
      </c>
      <c r="D113" s="12">
        <v>320.0</v>
      </c>
    </row>
    <row r="114" spans="1:4" customHeight="1" ht="130">
      <c r="A114"/>
      <c r="B114" s="10" t="str">
        <f>"05065"</f>
        <v>05065</v>
      </c>
      <c r="C114" s="11" t="s">
        <v>112</v>
      </c>
      <c r="D114" s="12">
        <v>340.0</v>
      </c>
    </row>
    <row r="115" spans="1:4" customHeight="1" ht="130">
      <c r="A115"/>
      <c r="B115" s="10" t="str">
        <f>"05066"</f>
        <v>05066</v>
      </c>
      <c r="C115" s="11" t="s">
        <v>113</v>
      </c>
      <c r="D115" s="12">
        <v>340.0</v>
      </c>
    </row>
    <row r="116" spans="1:4" customHeight="1" ht="130">
      <c r="A116"/>
      <c r="B116" s="10" t="str">
        <f>"05067"</f>
        <v>05067</v>
      </c>
      <c r="C116" s="11" t="s">
        <v>114</v>
      </c>
      <c r="D116" s="12">
        <v>360.0</v>
      </c>
    </row>
    <row r="117" spans="1:4" customHeight="1" ht="130">
      <c r="A117"/>
      <c r="B117" s="10" t="str">
        <f>"05068"</f>
        <v>05068</v>
      </c>
      <c r="C117" s="11" t="s">
        <v>115</v>
      </c>
      <c r="D117" s="12">
        <v>380.0</v>
      </c>
    </row>
    <row r="118" spans="1:4" customHeight="1" ht="130">
      <c r="A118"/>
      <c r="B118" s="10" t="str">
        <f>"05069"</f>
        <v>05069</v>
      </c>
      <c r="C118" s="11" t="s">
        <v>116</v>
      </c>
      <c r="D118" s="12">
        <v>430.0</v>
      </c>
    </row>
    <row r="119" spans="1:4" customHeight="1" ht="130">
      <c r="A119"/>
      <c r="B119" s="10" t="str">
        <f>"05070"</f>
        <v>05070</v>
      </c>
      <c r="C119" s="11" t="s">
        <v>117</v>
      </c>
      <c r="D119" s="12">
        <v>470.0</v>
      </c>
    </row>
    <row r="120" spans="1:4" customHeight="1" ht="130">
      <c r="A120"/>
      <c r="B120" s="10" t="str">
        <f>"05071"</f>
        <v>05071</v>
      </c>
      <c r="C120" s="11" t="s">
        <v>118</v>
      </c>
      <c r="D120" s="12">
        <v>500.0</v>
      </c>
    </row>
    <row r="121" spans="1:4" customHeight="1" ht="130">
      <c r="A121"/>
      <c r="B121" s="10" t="str">
        <f>"05072"</f>
        <v>05072</v>
      </c>
      <c r="C121" s="11" t="s">
        <v>119</v>
      </c>
      <c r="D121" s="12">
        <v>840.0</v>
      </c>
    </row>
    <row r="122" spans="1:4" customHeight="1" ht="130">
      <c r="A122"/>
      <c r="B122" s="10" t="str">
        <f>"05073"</f>
        <v>05073</v>
      </c>
      <c r="C122" s="11" t="s">
        <v>120</v>
      </c>
      <c r="D122" s="12">
        <v>840.0</v>
      </c>
    </row>
    <row r="123" spans="1:4" customHeight="1" ht="130">
      <c r="A123"/>
      <c r="B123" s="10" t="str">
        <f>"05074"</f>
        <v>05074</v>
      </c>
      <c r="C123" s="11" t="s">
        <v>121</v>
      </c>
      <c r="D123" s="12">
        <v>400.0</v>
      </c>
    </row>
    <row r="124" spans="1:4" customHeight="1" ht="130">
      <c r="A124"/>
      <c r="B124" s="10" t="str">
        <f>"05075"</f>
        <v>05075</v>
      </c>
      <c r="C124" s="11" t="s">
        <v>122</v>
      </c>
      <c r="D124" s="12">
        <v>490.0</v>
      </c>
    </row>
    <row r="125" spans="1:4" customHeight="1" ht="130">
      <c r="A125"/>
      <c r="B125" s="10" t="str">
        <f>"05076"</f>
        <v>05076</v>
      </c>
      <c r="C125" s="11" t="s">
        <v>123</v>
      </c>
      <c r="D125" s="12">
        <v>10.0</v>
      </c>
    </row>
    <row r="126" spans="1:4" customHeight="1" ht="130">
      <c r="A126"/>
      <c r="B126" s="10" t="str">
        <f>"05080"</f>
        <v>05080</v>
      </c>
      <c r="C126" s="11" t="s">
        <v>124</v>
      </c>
      <c r="D126" s="12">
        <v>650.0</v>
      </c>
    </row>
    <row r="127" spans="1:4" customHeight="1" ht="130">
      <c r="A127"/>
      <c r="B127" s="10" t="str">
        <f>"05082"</f>
        <v>05082</v>
      </c>
      <c r="C127" s="11" t="s">
        <v>125</v>
      </c>
      <c r="D127" s="12">
        <v>533.0</v>
      </c>
    </row>
    <row r="128" spans="1:4" customHeight="1" ht="130">
      <c r="A128"/>
      <c r="B128" s="10" t="str">
        <f>"05088"</f>
        <v>05088</v>
      </c>
      <c r="C128" s="11" t="s">
        <v>126</v>
      </c>
      <c r="D128" s="12">
        <v>2470.0</v>
      </c>
    </row>
    <row r="129" spans="1:4" customHeight="1" ht="130">
      <c r="A129"/>
      <c r="B129" s="10" t="str">
        <f>"05091"</f>
        <v>05091</v>
      </c>
      <c r="C129" s="11" t="s">
        <v>127</v>
      </c>
      <c r="D129" s="12">
        <v>650.0</v>
      </c>
    </row>
    <row r="130" spans="1:4" customHeight="1" ht="130">
      <c r="A130"/>
      <c r="B130" s="10" t="str">
        <f>"05092"</f>
        <v>05092</v>
      </c>
      <c r="C130" s="11" t="s">
        <v>128</v>
      </c>
      <c r="D130" s="12">
        <v>300.0</v>
      </c>
    </row>
    <row r="131" spans="1:4" customHeight="1" ht="130">
      <c r="A131"/>
      <c r="B131" s="10" t="str">
        <f>"05100"</f>
        <v>05100</v>
      </c>
      <c r="C131" s="11" t="s">
        <v>129</v>
      </c>
      <c r="D131" s="12">
        <v>980.0</v>
      </c>
    </row>
    <row r="132" spans="1:4" customHeight="1" ht="130">
      <c r="A132"/>
      <c r="B132" s="10" t="str">
        <f>"05102"</f>
        <v>05102</v>
      </c>
      <c r="C132" s="11" t="s">
        <v>130</v>
      </c>
      <c r="D132" s="12">
        <v>1380.0</v>
      </c>
    </row>
    <row r="133" spans="1:4" customHeight="1" ht="130">
      <c r="A133"/>
      <c r="B133" s="10" t="str">
        <f>"05103"</f>
        <v>05103</v>
      </c>
      <c r="C133" s="11" t="s">
        <v>131</v>
      </c>
      <c r="D133" s="12">
        <v>3340.0</v>
      </c>
    </row>
    <row r="134" spans="1:4" customHeight="1" ht="130">
      <c r="A134"/>
      <c r="B134" s="10" t="str">
        <f>"05104"</f>
        <v>05104</v>
      </c>
      <c r="C134" s="11" t="s">
        <v>132</v>
      </c>
      <c r="D134" s="12">
        <v>6720.0</v>
      </c>
    </row>
    <row r="135" spans="1:4" customHeight="1" ht="130">
      <c r="A135"/>
      <c r="B135" s="10" t="str">
        <f>"05105"</f>
        <v>05105</v>
      </c>
      <c r="C135" s="11" t="s">
        <v>133</v>
      </c>
      <c r="D135" s="12">
        <v>9720.0</v>
      </c>
    </row>
    <row r="136" spans="1:4" customHeight="1" ht="130">
      <c r="A136"/>
      <c r="B136" s="10" t="str">
        <f>"05106"</f>
        <v>05106</v>
      </c>
      <c r="C136" s="11" t="s">
        <v>134</v>
      </c>
      <c r="D136" s="12">
        <v>2366.0</v>
      </c>
    </row>
    <row r="137" spans="1:4" customHeight="1" ht="130">
      <c r="A137"/>
      <c r="B137" s="10" t="str">
        <f>"05108"</f>
        <v>05108</v>
      </c>
      <c r="C137" s="11" t="s">
        <v>135</v>
      </c>
      <c r="D137" s="12">
        <v>41.0</v>
      </c>
    </row>
    <row r="138" spans="1:4" customHeight="1" ht="130">
      <c r="A138"/>
      <c r="B138" s="10" t="str">
        <f>"05110"</f>
        <v>05110</v>
      </c>
      <c r="C138" s="11" t="s">
        <v>136</v>
      </c>
      <c r="D138" s="12">
        <v>540.0</v>
      </c>
    </row>
    <row r="139" spans="1:4" customHeight="1" ht="130">
      <c r="A139"/>
      <c r="B139" s="10" t="str">
        <f>"05172"</f>
        <v>05172</v>
      </c>
      <c r="C139" s="11" t="s">
        <v>137</v>
      </c>
      <c r="D139" s="12">
        <v>7920.0</v>
      </c>
    </row>
    <row r="140" spans="1:4" customHeight="1" ht="130">
      <c r="A140"/>
      <c r="B140" s="10" t="str">
        <f>"05179"</f>
        <v>05179</v>
      </c>
      <c r="C140" s="11" t="s">
        <v>138</v>
      </c>
      <c r="D140" s="12">
        <v>110.0</v>
      </c>
    </row>
    <row r="141" spans="1:4" customHeight="1" ht="130">
      <c r="A141"/>
      <c r="B141" s="10" t="str">
        <f>"05180"</f>
        <v>05180</v>
      </c>
      <c r="C141" s="11" t="s">
        <v>139</v>
      </c>
      <c r="D141" s="12">
        <v>91.0</v>
      </c>
    </row>
    <row r="142" spans="1:4" customHeight="1" ht="130">
      <c r="A142"/>
      <c r="B142" s="10" t="str">
        <f>"05181"</f>
        <v>05181</v>
      </c>
      <c r="C142" s="11" t="s">
        <v>140</v>
      </c>
      <c r="D142" s="12">
        <v>750.0</v>
      </c>
    </row>
    <row r="143" spans="1:4" customHeight="1" ht="130">
      <c r="A143"/>
      <c r="B143" s="10" t="str">
        <f>"05182"</f>
        <v>05182</v>
      </c>
      <c r="C143" s="11" t="s">
        <v>141</v>
      </c>
      <c r="D143" s="12">
        <v>258.0</v>
      </c>
    </row>
    <row r="144" spans="1:4" customHeight="1" ht="130">
      <c r="A144"/>
      <c r="B144" s="10" t="str">
        <f>"05183"</f>
        <v>05183</v>
      </c>
      <c r="C144" s="11" t="s">
        <v>142</v>
      </c>
      <c r="D144" s="12">
        <v>258.0</v>
      </c>
    </row>
    <row r="145" spans="1:4" customHeight="1" ht="130">
      <c r="A145"/>
      <c r="B145" s="10" t="str">
        <f>"05184"</f>
        <v>05184</v>
      </c>
      <c r="C145" s="11" t="s">
        <v>143</v>
      </c>
      <c r="D145" s="12">
        <v>54.0</v>
      </c>
    </row>
    <row r="146" spans="1:4" customHeight="1" ht="130">
      <c r="A146"/>
      <c r="B146" s="10" t="str">
        <f>"05187"</f>
        <v>05187</v>
      </c>
      <c r="C146" s="11" t="s">
        <v>144</v>
      </c>
      <c r="D146" s="12">
        <v>78.0</v>
      </c>
    </row>
    <row r="147" spans="1:4" customHeight="1" ht="130">
      <c r="A147"/>
      <c r="B147" s="10" t="str">
        <f>"05192"</f>
        <v>05192</v>
      </c>
      <c r="C147" s="11" t="s">
        <v>145</v>
      </c>
      <c r="D147" s="12">
        <v>15.0</v>
      </c>
    </row>
    <row r="148" spans="1:4" customHeight="1" ht="130">
      <c r="A148"/>
      <c r="B148" s="10" t="str">
        <f>"05193"</f>
        <v>05193</v>
      </c>
      <c r="C148" s="11" t="s">
        <v>146</v>
      </c>
      <c r="D148" s="12">
        <v>15.0</v>
      </c>
    </row>
    <row r="149" spans="1:4" customHeight="1" ht="130">
      <c r="A149"/>
      <c r="B149" s="10" t="str">
        <f>"05195"</f>
        <v>05195</v>
      </c>
      <c r="C149" s="11" t="s">
        <v>147</v>
      </c>
      <c r="D149" s="12">
        <v>1120.0</v>
      </c>
    </row>
    <row r="150" spans="1:4" customHeight="1" ht="130">
      <c r="A150"/>
      <c r="B150" s="10" t="str">
        <f>"05197"</f>
        <v>05197</v>
      </c>
      <c r="C150" s="11" t="s">
        <v>148</v>
      </c>
      <c r="D150" s="12">
        <v>6000.0</v>
      </c>
    </row>
    <row r="151" spans="1:4" customHeight="1" ht="130">
      <c r="A151"/>
      <c r="B151" s="10" t="str">
        <f>"05199"</f>
        <v>05199</v>
      </c>
      <c r="C151" s="11" t="s">
        <v>149</v>
      </c>
      <c r="D151" s="12">
        <v>6990.0</v>
      </c>
    </row>
    <row r="152" spans="1:4" customHeight="1" ht="130">
      <c r="A152"/>
      <c r="B152" s="10" t="str">
        <f>"05202"</f>
        <v>05202</v>
      </c>
      <c r="C152" s="11" t="s">
        <v>150</v>
      </c>
      <c r="D152" s="12">
        <v>825.0</v>
      </c>
    </row>
    <row r="153" spans="1:4" customHeight="1" ht="130">
      <c r="A153"/>
      <c r="B153" s="10" t="str">
        <f>"05203"</f>
        <v>05203</v>
      </c>
      <c r="C153" s="11" t="s">
        <v>151</v>
      </c>
      <c r="D153" s="12">
        <v>871.0</v>
      </c>
    </row>
    <row r="154" spans="1:4" customHeight="1" ht="130">
      <c r="A154"/>
      <c r="B154" s="10" t="str">
        <f>"05204"</f>
        <v>05204</v>
      </c>
      <c r="C154" s="11" t="s">
        <v>152</v>
      </c>
      <c r="D154" s="12">
        <v>825.0</v>
      </c>
    </row>
    <row r="155" spans="1:4" customHeight="1" ht="130">
      <c r="A155"/>
      <c r="B155" s="10" t="str">
        <f>"05215"</f>
        <v>05215</v>
      </c>
      <c r="C155" s="11" t="s">
        <v>153</v>
      </c>
      <c r="D155" s="12">
        <v>800.0</v>
      </c>
    </row>
    <row r="156" spans="1:4" customHeight="1" ht="130">
      <c r="A156"/>
      <c r="B156" s="10" t="str">
        <f>"05216"</f>
        <v>05216</v>
      </c>
      <c r="C156" s="11" t="s">
        <v>154</v>
      </c>
      <c r="D156" s="12">
        <v>800.0</v>
      </c>
    </row>
    <row r="157" spans="1:4" customHeight="1" ht="130">
      <c r="A157"/>
      <c r="B157" s="10" t="str">
        <f>"05217"</f>
        <v>05217</v>
      </c>
      <c r="C157" s="11" t="s">
        <v>155</v>
      </c>
      <c r="D157" s="12">
        <v>800.0</v>
      </c>
    </row>
    <row r="158" spans="1:4" customHeight="1" ht="130">
      <c r="A158"/>
      <c r="B158" s="10" t="str">
        <f>"05218"</f>
        <v>05218</v>
      </c>
      <c r="C158" s="11" t="s">
        <v>156</v>
      </c>
      <c r="D158" s="12">
        <v>800.0</v>
      </c>
    </row>
    <row r="159" spans="1:4" customHeight="1" ht="130">
      <c r="A159"/>
      <c r="B159" s="10" t="str">
        <f>"05219"</f>
        <v>05219</v>
      </c>
      <c r="C159" s="11" t="s">
        <v>157</v>
      </c>
      <c r="D159" s="12">
        <v>800.0</v>
      </c>
    </row>
    <row r="160" spans="1:4" customHeight="1" ht="130">
      <c r="A160"/>
      <c r="B160" s="10" t="str">
        <f>"05231"</f>
        <v>05231</v>
      </c>
      <c r="C160" s="11" t="s">
        <v>158</v>
      </c>
      <c r="D160" s="12">
        <v>25.0</v>
      </c>
    </row>
    <row r="161" spans="1:4" customHeight="1" ht="130">
      <c r="A161"/>
      <c r="B161" s="10" t="str">
        <f>"05233"</f>
        <v>05233</v>
      </c>
      <c r="C161" s="11" t="s">
        <v>159</v>
      </c>
      <c r="D161" s="12">
        <v>5000.0</v>
      </c>
    </row>
    <row r="162" spans="1:4" customHeight="1" ht="130">
      <c r="A162"/>
      <c r="B162" s="10" t="str">
        <f>"05240"</f>
        <v>05240</v>
      </c>
      <c r="C162" s="11" t="s">
        <v>160</v>
      </c>
      <c r="D162" s="12">
        <v>1265.0</v>
      </c>
    </row>
    <row r="163" spans="1:4" customHeight="1" ht="130">
      <c r="A163"/>
      <c r="B163" s="10" t="str">
        <f>"05242"</f>
        <v>05242</v>
      </c>
      <c r="C163" s="11" t="s">
        <v>161</v>
      </c>
      <c r="D163" s="12">
        <v>54.0</v>
      </c>
    </row>
    <row r="164" spans="1:4" customHeight="1" ht="130">
      <c r="A164"/>
      <c r="B164" s="10" t="str">
        <f>"05244"</f>
        <v>05244</v>
      </c>
      <c r="C164" s="11" t="s">
        <v>162</v>
      </c>
      <c r="D164" s="12">
        <v>273.0</v>
      </c>
    </row>
    <row r="165" spans="1:4" customHeight="1" ht="130">
      <c r="A165"/>
      <c r="B165" s="10" t="str">
        <f>"05274"</f>
        <v>05274</v>
      </c>
      <c r="C165" s="11" t="s">
        <v>163</v>
      </c>
      <c r="D165" s="12">
        <v>1265.0</v>
      </c>
    </row>
    <row r="166" spans="1:4" customHeight="1" ht="130">
      <c r="A166"/>
      <c r="B166" s="10" t="str">
        <f>"05305"</f>
        <v>05305</v>
      </c>
      <c r="C166" s="11" t="s">
        <v>164</v>
      </c>
      <c r="D166" s="12">
        <v>273.0</v>
      </c>
    </row>
    <row r="167" spans="1:4" customHeight="1" ht="130">
      <c r="A167"/>
      <c r="B167" s="10" t="str">
        <f>"05664"</f>
        <v>05664</v>
      </c>
      <c r="C167" s="11" t="s">
        <v>165</v>
      </c>
      <c r="D167" s="12">
        <v>1800.0</v>
      </c>
    </row>
    <row r="168" spans="1:4" customHeight="1" ht="130">
      <c r="A168"/>
      <c r="B168" s="10" t="str">
        <f>"05666"</f>
        <v>05666</v>
      </c>
      <c r="C168" s="11" t="s">
        <v>166</v>
      </c>
      <c r="D168" s="12">
        <v>1600.0</v>
      </c>
    </row>
    <row r="169" spans="1:4" customHeight="1" ht="130">
      <c r="A169"/>
      <c r="B169" s="10" t="str">
        <f>"05667"</f>
        <v>05667</v>
      </c>
      <c r="C169" s="11" t="s">
        <v>167</v>
      </c>
      <c r="D169" s="12">
        <v>1600.0</v>
      </c>
    </row>
    <row r="170" spans="1:4" customHeight="1" ht="130">
      <c r="A170"/>
      <c r="B170" s="10" t="str">
        <f>"07627"</f>
        <v>07627</v>
      </c>
      <c r="C170" s="11" t="s">
        <v>168</v>
      </c>
      <c r="D170" s="12">
        <v>104.0</v>
      </c>
    </row>
    <row r="171" spans="1:4" customHeight="1" ht="130">
      <c r="A171"/>
      <c r="B171" s="10" t="str">
        <f>"07771"</f>
        <v>07771</v>
      </c>
      <c r="C171" s="11" t="s">
        <v>169</v>
      </c>
      <c r="D171" s="12">
        <v>320.0</v>
      </c>
    </row>
    <row r="172" spans="1:4" customHeight="1" ht="130">
      <c r="A172"/>
      <c r="B172" s="10" t="str">
        <f>"07993"</f>
        <v>07993</v>
      </c>
      <c r="C172" s="11" t="s">
        <v>170</v>
      </c>
      <c r="D172" s="12">
        <v>1100.0</v>
      </c>
    </row>
    <row r="173" spans="1:4" customHeight="1" ht="130">
      <c r="A173"/>
      <c r="B173" s="10" t="str">
        <f>"07994"</f>
        <v>07994</v>
      </c>
      <c r="C173" s="11" t="s">
        <v>171</v>
      </c>
      <c r="D173" s="12">
        <v>1100.0</v>
      </c>
    </row>
    <row r="174" spans="1:4" customHeight="1" ht="130">
      <c r="A174"/>
      <c r="B174" s="10" t="str">
        <f>"08180"</f>
        <v>08180</v>
      </c>
      <c r="C174" s="11" t="s">
        <v>172</v>
      </c>
      <c r="D174" s="12">
        <v>30.0</v>
      </c>
    </row>
    <row r="175" spans="1:4" customHeight="1" ht="130">
      <c r="A175"/>
      <c r="B175" s="10" t="str">
        <f>"08222"</f>
        <v>08222</v>
      </c>
      <c r="C175" s="11" t="s">
        <v>173</v>
      </c>
      <c r="D175" s="12">
        <v>332.0</v>
      </c>
    </row>
    <row r="176" spans="1:4" customHeight="1" ht="130">
      <c r="A176"/>
      <c r="B176" s="10" t="str">
        <f>"08223"</f>
        <v>08223</v>
      </c>
      <c r="C176" s="11" t="s">
        <v>174</v>
      </c>
      <c r="D176" s="12">
        <v>221.0</v>
      </c>
    </row>
    <row r="177" spans="1:4" customHeight="1" ht="130">
      <c r="A177"/>
      <c r="B177" s="10" t="str">
        <f>"08807"</f>
        <v>08807</v>
      </c>
      <c r="C177" s="11" t="s">
        <v>175</v>
      </c>
      <c r="D177" s="12">
        <v>1300.0</v>
      </c>
    </row>
    <row r="178" spans="1:4" customHeight="1" ht="130">
      <c r="A178"/>
      <c r="B178" s="10" t="str">
        <f>"08850"</f>
        <v>08850</v>
      </c>
      <c r="C178" s="11" t="s">
        <v>176</v>
      </c>
      <c r="D178" s="12">
        <v>340.0</v>
      </c>
    </row>
    <row r="179" spans="1:4" customHeight="1" ht="130">
      <c r="A179"/>
      <c r="B179" s="10" t="str">
        <f>"08880"</f>
        <v>08880</v>
      </c>
      <c r="C179" s="11" t="s">
        <v>177</v>
      </c>
      <c r="D179" s="12">
        <v>273.0</v>
      </c>
    </row>
    <row r="180" spans="1:4" customHeight="1" ht="130">
      <c r="A180"/>
      <c r="B180" s="10" t="str">
        <f>"08933"</f>
        <v>08933</v>
      </c>
      <c r="C180" s="11" t="s">
        <v>178</v>
      </c>
      <c r="D180" s="12">
        <v>1600.0</v>
      </c>
    </row>
    <row r="181" spans="1:4" customHeight="1" ht="130">
      <c r="A181"/>
      <c r="B181" s="10" t="str">
        <f>"08934"</f>
        <v>08934</v>
      </c>
      <c r="C181" s="11" t="s">
        <v>179</v>
      </c>
      <c r="D181" s="12">
        <v>1800.0</v>
      </c>
    </row>
    <row r="182" spans="1:4" customHeight="1" ht="130">
      <c r="A182"/>
      <c r="B182" s="10" t="str">
        <f>"08971"</f>
        <v>08971</v>
      </c>
      <c r="C182" s="11" t="s">
        <v>180</v>
      </c>
      <c r="D182" s="12">
        <v>380.0</v>
      </c>
    </row>
    <row r="183" spans="1:4" customHeight="1" ht="130">
      <c r="A183"/>
      <c r="B183" s="10" t="str">
        <f>"08973"</f>
        <v>08973</v>
      </c>
      <c r="C183" s="11" t="s">
        <v>181</v>
      </c>
      <c r="D183" s="12">
        <v>230.0</v>
      </c>
    </row>
    <row r="184" spans="1:4" customHeight="1" ht="130">
      <c r="A184"/>
      <c r="B184" s="10" t="str">
        <f>"09210"</f>
        <v>09210</v>
      </c>
      <c r="C184" s="11" t="s">
        <v>182</v>
      </c>
      <c r="D184" s="12">
        <v>870.0</v>
      </c>
    </row>
    <row r="185" spans="1:4" customHeight="1" ht="130">
      <c r="A185"/>
      <c r="B185" s="10" t="str">
        <f>"09543"</f>
        <v>09543</v>
      </c>
      <c r="C185" s="11" t="s">
        <v>183</v>
      </c>
      <c r="D185" s="12">
        <v>460.0</v>
      </c>
    </row>
    <row r="186" spans="1:4" customHeight="1" ht="130">
      <c r="A186"/>
      <c r="B186" s="10" t="str">
        <f>"09546"</f>
        <v>09546</v>
      </c>
      <c r="C186" s="11" t="s">
        <v>184</v>
      </c>
      <c r="D186" s="12">
        <v>13420.0</v>
      </c>
    </row>
    <row r="187" spans="1:4" customHeight="1" ht="130">
      <c r="A187"/>
      <c r="B187" s="10" t="str">
        <f>"09547"</f>
        <v>09547</v>
      </c>
      <c r="C187" s="11" t="s">
        <v>185</v>
      </c>
      <c r="D187" s="12">
        <v>18830.0</v>
      </c>
    </row>
    <row r="188" spans="1:4" customHeight="1" ht="130">
      <c r="A188"/>
      <c r="B188" s="10" t="str">
        <f>"09548"</f>
        <v>09548</v>
      </c>
      <c r="C188" s="11" t="s">
        <v>186</v>
      </c>
      <c r="D188" s="12">
        <v>694.0</v>
      </c>
    </row>
    <row r="189" spans="1:4" customHeight="1" ht="130">
      <c r="A189"/>
      <c r="B189" s="10" t="str">
        <f>"09806"</f>
        <v>09806</v>
      </c>
      <c r="C189" s="11" t="s">
        <v>187</v>
      </c>
      <c r="D189" s="12">
        <v>2558.0</v>
      </c>
    </row>
    <row r="190" spans="1:4" customHeight="1" ht="130">
      <c r="A190"/>
      <c r="B190" s="10" t="str">
        <f>"09808"</f>
        <v>09808</v>
      </c>
      <c r="C190" s="11" t="s">
        <v>188</v>
      </c>
      <c r="D190" s="12">
        <v>70.0</v>
      </c>
    </row>
    <row r="191" spans="1:4" customHeight="1" ht="130">
      <c r="A191"/>
      <c r="B191" s="10" t="str">
        <f>"09810"</f>
        <v>09810</v>
      </c>
      <c r="C191" s="11" t="s">
        <v>189</v>
      </c>
      <c r="D191" s="12">
        <v>9.0</v>
      </c>
    </row>
    <row r="192" spans="1:4" customHeight="1" ht="130">
      <c r="A192"/>
      <c r="B192" s="10" t="str">
        <f>"09824"</f>
        <v>09824</v>
      </c>
      <c r="C192" s="11" t="s">
        <v>190</v>
      </c>
      <c r="D192" s="12">
        <v>10960.0</v>
      </c>
    </row>
    <row r="193" spans="1:4" customHeight="1" ht="130">
      <c r="A193"/>
      <c r="B193" s="10" t="str">
        <f>"09836"</f>
        <v>09836</v>
      </c>
      <c r="C193" s="11" t="s">
        <v>191</v>
      </c>
      <c r="D193" s="12">
        <v>21820.0</v>
      </c>
    </row>
    <row r="194" spans="1:4" customHeight="1" ht="130">
      <c r="A194"/>
      <c r="B194" s="10" t="str">
        <f>"09961"</f>
        <v>09961</v>
      </c>
      <c r="C194" s="11" t="s">
        <v>192</v>
      </c>
      <c r="D194" s="12">
        <v>835.0</v>
      </c>
    </row>
    <row r="195" spans="1:4" customHeight="1" ht="130">
      <c r="A195"/>
      <c r="B195" s="10" t="str">
        <f>"09962"</f>
        <v>09962</v>
      </c>
      <c r="C195" s="11" t="s">
        <v>193</v>
      </c>
      <c r="D195" s="12">
        <v>473.0</v>
      </c>
    </row>
    <row r="196" spans="1:4" customHeight="1" ht="130">
      <c r="A196"/>
      <c r="B196" s="10" t="str">
        <f>"10049"</f>
        <v>10049</v>
      </c>
      <c r="C196" s="11" t="s">
        <v>194</v>
      </c>
      <c r="D196" s="12">
        <v>2400.0</v>
      </c>
    </row>
    <row r="197" spans="1:4" customHeight="1" ht="130">
      <c r="A197"/>
      <c r="B197" s="10" t="str">
        <f>"10183"</f>
        <v>10183</v>
      </c>
      <c r="C197" s="11" t="s">
        <v>195</v>
      </c>
      <c r="D197" s="12">
        <v>17220.0</v>
      </c>
    </row>
    <row r="198" spans="1:4" customHeight="1" ht="130">
      <c r="A198"/>
      <c r="B198" s="10" t="str">
        <f>"10268"</f>
        <v>10268</v>
      </c>
      <c r="C198" s="11" t="s">
        <v>196</v>
      </c>
      <c r="D198" s="12">
        <v>2363.0</v>
      </c>
    </row>
    <row r="199" spans="1:4" customHeight="1" ht="130">
      <c r="A199"/>
      <c r="B199" s="10" t="str">
        <f>"10335"</f>
        <v>10335</v>
      </c>
      <c r="C199" s="11" t="s">
        <v>197</v>
      </c>
      <c r="D199" s="12">
        <v>675.0</v>
      </c>
    </row>
    <row r="200" spans="1:4" customHeight="1" ht="130">
      <c r="A200"/>
      <c r="B200" s="10" t="str">
        <f>"10454"</f>
        <v>10454</v>
      </c>
      <c r="C200" s="11" t="s">
        <v>198</v>
      </c>
      <c r="D200" s="12">
        <v>150.0</v>
      </c>
    </row>
    <row r="201" spans="1:4" customHeight="1" ht="130">
      <c r="A201"/>
      <c r="B201" s="10" t="str">
        <f>"11319"</f>
        <v>11319</v>
      </c>
      <c r="C201" s="11" t="s">
        <v>199</v>
      </c>
      <c r="D201" s="12">
        <v>286.0</v>
      </c>
    </row>
    <row r="202" spans="1:4" customHeight="1" ht="130">
      <c r="A202"/>
      <c r="B202" s="10" t="str">
        <f>"11389"</f>
        <v>11389</v>
      </c>
      <c r="C202" s="11" t="s">
        <v>200</v>
      </c>
      <c r="D202" s="12">
        <v>18505.0</v>
      </c>
    </row>
    <row r="203" spans="1:4" customHeight="1" ht="130">
      <c r="A203"/>
      <c r="B203" s="10" t="str">
        <f>"11390"</f>
        <v>11390</v>
      </c>
      <c r="C203" s="11" t="s">
        <v>201</v>
      </c>
      <c r="D203" s="12">
        <v>2360.0</v>
      </c>
    </row>
    <row r="204" spans="1:4" customHeight="1" ht="130">
      <c r="A204"/>
      <c r="B204" s="10" t="str">
        <f>"11391"</f>
        <v>11391</v>
      </c>
      <c r="C204" s="11" t="s">
        <v>202</v>
      </c>
      <c r="D204" s="12">
        <v>8717.0</v>
      </c>
    </row>
    <row r="205" spans="1:4" customHeight="1" ht="130">
      <c r="A205"/>
      <c r="B205" s="10" t="str">
        <f>"11434"</f>
        <v>11434</v>
      </c>
      <c r="C205" s="11" t="s">
        <v>203</v>
      </c>
      <c r="D205" s="12">
        <v>108.0</v>
      </c>
    </row>
    <row r="206" spans="1:4" customHeight="1" ht="130">
      <c r="A206"/>
      <c r="B206" s="10" t="str">
        <f>"11472"</f>
        <v>11472</v>
      </c>
      <c r="C206" s="11" t="s">
        <v>204</v>
      </c>
      <c r="D206" s="12">
        <v>500.0</v>
      </c>
    </row>
    <row r="207" spans="1:4" customHeight="1" ht="130">
      <c r="A207"/>
      <c r="B207" s="10" t="str">
        <f>"11473"</f>
        <v>11473</v>
      </c>
      <c r="C207" s="11" t="s">
        <v>205</v>
      </c>
      <c r="D207" s="12">
        <v>1235.0</v>
      </c>
    </row>
    <row r="208" spans="1:4" customHeight="1" ht="130">
      <c r="A208"/>
      <c r="B208" s="10" t="str">
        <f>"11676"</f>
        <v>11676</v>
      </c>
      <c r="C208" s="11" t="s">
        <v>206</v>
      </c>
      <c r="D208" s="12">
        <v>80.0</v>
      </c>
    </row>
    <row r="209" spans="1:4" customHeight="1" ht="130">
      <c r="A209"/>
      <c r="B209" s="10" t="str">
        <f>"11774"</f>
        <v>11774</v>
      </c>
      <c r="C209" s="11" t="s">
        <v>207</v>
      </c>
      <c r="D209" s="12">
        <v>72.0</v>
      </c>
    </row>
    <row r="210" spans="1:4" customHeight="1" ht="130">
      <c r="A210"/>
      <c r="B210" s="10" t="str">
        <f>"12866"</f>
        <v>12866</v>
      </c>
      <c r="C210" s="11" t="s">
        <v>208</v>
      </c>
      <c r="D210" s="12">
        <v>40.0</v>
      </c>
    </row>
    <row r="211" spans="1:4" customHeight="1" ht="130">
      <c r="A211"/>
      <c r="B211" s="10" t="str">
        <f>"13133"</f>
        <v>13133</v>
      </c>
      <c r="C211" s="11" t="s">
        <v>209</v>
      </c>
      <c r="D211" s="12">
        <v>4284.0</v>
      </c>
    </row>
    <row r="212" spans="1:4" customHeight="1" ht="130">
      <c r="A212"/>
      <c r="B212" s="10" t="str">
        <f>"13136"</f>
        <v>13136</v>
      </c>
      <c r="C212" s="11" t="s">
        <v>210</v>
      </c>
      <c r="D212" s="12">
        <v>126.0</v>
      </c>
    </row>
    <row r="213" spans="1:4" customHeight="1" ht="130">
      <c r="A213"/>
      <c r="B213" s="10" t="str">
        <f>"13137"</f>
        <v>13137</v>
      </c>
      <c r="C213" s="11" t="s">
        <v>211</v>
      </c>
      <c r="D213" s="12">
        <v>6534.0</v>
      </c>
    </row>
    <row r="214" spans="1:4" customHeight="1" ht="130">
      <c r="A214"/>
      <c r="B214" s="10" t="str">
        <f>"13138"</f>
        <v>13138</v>
      </c>
      <c r="C214" s="11" t="s">
        <v>212</v>
      </c>
      <c r="D214" s="12">
        <v>1476.0</v>
      </c>
    </row>
    <row r="215" spans="1:4" customHeight="1" ht="130">
      <c r="A215"/>
      <c r="B215" s="10" t="str">
        <f>"13207"</f>
        <v>13207</v>
      </c>
      <c r="C215" s="11" t="s">
        <v>213</v>
      </c>
      <c r="D215" s="12">
        <v>5125.0</v>
      </c>
    </row>
    <row r="216" spans="1:4" customHeight="1" ht="130">
      <c r="A216"/>
      <c r="B216" s="10" t="str">
        <f>"13396"</f>
        <v>13396</v>
      </c>
      <c r="C216" s="11" t="s">
        <v>214</v>
      </c>
      <c r="D216" s="12">
        <v>11592.0</v>
      </c>
    </row>
    <row r="217" spans="1:4" customHeight="1" ht="130">
      <c r="A217"/>
      <c r="B217" s="10" t="str">
        <f>"13397"</f>
        <v>13397</v>
      </c>
      <c r="C217" s="11" t="s">
        <v>215</v>
      </c>
      <c r="D217" s="12">
        <v>5904.0</v>
      </c>
    </row>
    <row r="218" spans="1:4" customHeight="1" ht="130">
      <c r="A218"/>
      <c r="B218" s="10" t="str">
        <f>"13398"</f>
        <v>13398</v>
      </c>
      <c r="C218" s="11" t="s">
        <v>216</v>
      </c>
      <c r="D218" s="12">
        <v>11412.0</v>
      </c>
    </row>
    <row r="219" spans="1:4" customHeight="1" ht="130">
      <c r="A219"/>
      <c r="B219" s="10" t="str">
        <f>"13399"</f>
        <v>13399</v>
      </c>
      <c r="C219" s="11" t="s">
        <v>217</v>
      </c>
      <c r="D219" s="12">
        <v>990.0</v>
      </c>
    </row>
    <row r="220" spans="1:4" customHeight="1" ht="130">
      <c r="A220"/>
      <c r="B220" s="10" t="str">
        <f>"13400"</f>
        <v>13400</v>
      </c>
      <c r="C220" s="11" t="s">
        <v>218</v>
      </c>
      <c r="D220" s="12">
        <v>594.0</v>
      </c>
    </row>
    <row r="221" spans="1:4" customHeight="1" ht="130">
      <c r="A221"/>
      <c r="B221" s="10" t="str">
        <f>"13497"</f>
        <v>13497</v>
      </c>
      <c r="C221" s="11" t="s">
        <v>219</v>
      </c>
      <c r="D221" s="12">
        <v>1960.0</v>
      </c>
    </row>
    <row r="222" spans="1:4" customHeight="1" ht="130">
      <c r="A222"/>
      <c r="B222" s="10" t="str">
        <f>"13559"</f>
        <v>13559</v>
      </c>
      <c r="C222" s="11" t="s">
        <v>220</v>
      </c>
      <c r="D222" s="12">
        <v>6444.0</v>
      </c>
    </row>
    <row r="223" spans="1:4" customHeight="1" ht="130">
      <c r="A223"/>
      <c r="B223" s="10" t="str">
        <f>"13670"</f>
        <v>13670</v>
      </c>
      <c r="C223" s="11" t="s">
        <v>221</v>
      </c>
      <c r="D223" s="12">
        <v>2160.0</v>
      </c>
    </row>
    <row r="224" spans="1:4" customHeight="1" ht="130">
      <c r="A224"/>
      <c r="B224" s="10" t="str">
        <f>"13960"</f>
        <v>13960</v>
      </c>
      <c r="C224" s="11" t="s">
        <v>222</v>
      </c>
      <c r="D224" s="12">
        <v>1573.0</v>
      </c>
    </row>
    <row r="225" spans="1:4" customHeight="1" ht="130">
      <c r="A225"/>
      <c r="B225" s="10" t="str">
        <f>"14088"</f>
        <v>14088</v>
      </c>
      <c r="C225" s="11" t="s">
        <v>223</v>
      </c>
      <c r="D225" s="12">
        <v>1380.0</v>
      </c>
    </row>
    <row r="226" spans="1:4" customHeight="1" ht="130">
      <c r="A226"/>
      <c r="B226" s="10" t="str">
        <f>"14143"</f>
        <v>14143</v>
      </c>
      <c r="C226" s="11" t="s">
        <v>224</v>
      </c>
      <c r="D226" s="12">
        <v>252.0</v>
      </c>
    </row>
    <row r="227" spans="1:4" customHeight="1" ht="130">
      <c r="A227"/>
      <c r="B227" s="10" t="str">
        <f>"14193"</f>
        <v>14193</v>
      </c>
      <c r="C227" s="11" t="s">
        <v>225</v>
      </c>
      <c r="D227" s="12">
        <v>1836.0</v>
      </c>
    </row>
    <row r="228" spans="1:4" customHeight="1" ht="130">
      <c r="A228"/>
      <c r="B228" s="10" t="str">
        <f>"14436"</f>
        <v>14436</v>
      </c>
      <c r="C228" s="11" t="s">
        <v>226</v>
      </c>
      <c r="D228" s="12">
        <v>504.0</v>
      </c>
    </row>
    <row r="229" spans="1:4" customHeight="1" ht="130">
      <c r="A229"/>
      <c r="B229" s="10" t="str">
        <f>"14442"</f>
        <v>14442</v>
      </c>
      <c r="C229" s="11" t="s">
        <v>227</v>
      </c>
      <c r="D229" s="12">
        <v>1100.0</v>
      </c>
    </row>
    <row r="230" spans="1:4" customHeight="1" ht="130">
      <c r="A230"/>
      <c r="B230" s="10" t="str">
        <f>"15777"</f>
        <v>15777</v>
      </c>
      <c r="C230" s="11" t="s">
        <v>228</v>
      </c>
      <c r="D230" s="12">
        <v>3114.0</v>
      </c>
    </row>
    <row r="231" spans="1:4" customHeight="1" ht="130">
      <c r="A231"/>
      <c r="B231" s="10" t="str">
        <f>"15896"</f>
        <v>15896</v>
      </c>
      <c r="C231" s="11" t="s">
        <v>229</v>
      </c>
      <c r="D231" s="12">
        <v>280.0</v>
      </c>
    </row>
    <row r="232" spans="1:4" customHeight="1" ht="130">
      <c r="A232"/>
      <c r="B232" s="10" t="str">
        <f>"16142"</f>
        <v>16142</v>
      </c>
      <c r="C232" s="11" t="s">
        <v>230</v>
      </c>
      <c r="D232" s="12">
        <v>10224.0</v>
      </c>
    </row>
    <row r="233" spans="1:4" customHeight="1" ht="130">
      <c r="A233"/>
      <c r="B233" s="10" t="str">
        <f>"16209"</f>
        <v>16209</v>
      </c>
      <c r="C233" s="11" t="s">
        <v>231</v>
      </c>
      <c r="D233" s="12">
        <v>972.0</v>
      </c>
    </row>
    <row r="234" spans="1:4" customHeight="1" ht="130">
      <c r="A234"/>
      <c r="B234" s="10" t="str">
        <f>"16401"</f>
        <v>16401</v>
      </c>
      <c r="C234" s="11" t="s">
        <v>232</v>
      </c>
      <c r="D234" s="12">
        <v>6246.0</v>
      </c>
    </row>
    <row r="235" spans="1:4" customHeight="1" ht="130">
      <c r="A235"/>
      <c r="B235" s="10" t="str">
        <f>"16554"</f>
        <v>16554</v>
      </c>
      <c r="C235" s="11" t="s">
        <v>233</v>
      </c>
      <c r="D235" s="12">
        <v>1005.0</v>
      </c>
    </row>
    <row r="236" spans="1:4" customHeight="1" ht="130">
      <c r="A236"/>
      <c r="B236" s="10" t="str">
        <f>"16559"</f>
        <v>16559</v>
      </c>
      <c r="C236" s="11" t="s">
        <v>234</v>
      </c>
      <c r="D236" s="12">
        <v>1040.0</v>
      </c>
    </row>
    <row r="237" spans="1:4" customHeight="1" ht="130">
      <c r="A237"/>
      <c r="B237" s="10" t="str">
        <f>"16561"</f>
        <v>16561</v>
      </c>
      <c r="C237" s="11" t="s">
        <v>235</v>
      </c>
      <c r="D237" s="12">
        <v>1100.0</v>
      </c>
    </row>
    <row r="238" spans="1:4" customHeight="1" ht="130">
      <c r="A238"/>
      <c r="B238" s="10" t="str">
        <f>"16563"</f>
        <v>16563</v>
      </c>
      <c r="C238" s="11" t="s">
        <v>236</v>
      </c>
      <c r="D238" s="12">
        <v>1100.0</v>
      </c>
    </row>
    <row r="239" spans="1:4" customHeight="1" ht="130">
      <c r="A239"/>
      <c r="B239" s="10" t="str">
        <f>"16565"</f>
        <v>16565</v>
      </c>
      <c r="C239" s="11" t="s">
        <v>237</v>
      </c>
      <c r="D239" s="12">
        <v>1175.0</v>
      </c>
    </row>
    <row r="240" spans="1:4" customHeight="1" ht="130">
      <c r="A240"/>
      <c r="B240" s="10" t="str">
        <f>"16569"</f>
        <v>16569</v>
      </c>
      <c r="C240" s="11" t="s">
        <v>238</v>
      </c>
      <c r="D240" s="12">
        <v>625.0</v>
      </c>
    </row>
    <row r="241" spans="1:4" customHeight="1" ht="130">
      <c r="A241"/>
      <c r="B241" s="10" t="str">
        <f>"16570"</f>
        <v>16570</v>
      </c>
      <c r="C241" s="11" t="s">
        <v>239</v>
      </c>
      <c r="D241" s="12">
        <v>860.0</v>
      </c>
    </row>
    <row r="242" spans="1:4" customHeight="1" ht="130">
      <c r="A242"/>
      <c r="B242" s="10" t="str">
        <f>"16571"</f>
        <v>16571</v>
      </c>
      <c r="C242" s="11" t="s">
        <v>240</v>
      </c>
      <c r="D242" s="12">
        <v>820.0</v>
      </c>
    </row>
    <row r="243" spans="1:4" customHeight="1" ht="130">
      <c r="A243"/>
      <c r="B243" s="10" t="str">
        <f>"16572"</f>
        <v>16572</v>
      </c>
      <c r="C243" s="11" t="s">
        <v>241</v>
      </c>
      <c r="D243" s="12">
        <v>1070.0</v>
      </c>
    </row>
    <row r="244" spans="1:4" customHeight="1" ht="130">
      <c r="A244"/>
      <c r="B244" s="10" t="str">
        <f>"16573"</f>
        <v>16573</v>
      </c>
      <c r="C244" s="11" t="s">
        <v>242</v>
      </c>
      <c r="D244" s="12">
        <v>1120.0</v>
      </c>
    </row>
    <row r="245" spans="1:4" customHeight="1" ht="130">
      <c r="A245"/>
      <c r="B245" s="10" t="str">
        <f>"16576"</f>
        <v>16576</v>
      </c>
      <c r="C245" s="11" t="s">
        <v>243</v>
      </c>
      <c r="D245" s="12">
        <v>1030.0</v>
      </c>
    </row>
    <row r="246" spans="1:4" customHeight="1" ht="130">
      <c r="A246"/>
      <c r="B246" s="10" t="str">
        <f>"16577"</f>
        <v>16577</v>
      </c>
      <c r="C246" s="11" t="s">
        <v>244</v>
      </c>
      <c r="D246" s="12">
        <v>1030.0</v>
      </c>
    </row>
    <row r="247" spans="1:4" customHeight="1" ht="130">
      <c r="A247"/>
      <c r="B247" s="10" t="str">
        <f>"16578"</f>
        <v>16578</v>
      </c>
      <c r="C247" s="11" t="s">
        <v>245</v>
      </c>
      <c r="D247" s="12">
        <v>1140.0</v>
      </c>
    </row>
    <row r="248" spans="1:4" customHeight="1" ht="130">
      <c r="A248"/>
      <c r="B248" s="10" t="str">
        <f>"16579"</f>
        <v>16579</v>
      </c>
      <c r="C248" s="11" t="s">
        <v>246</v>
      </c>
      <c r="D248" s="12">
        <v>1355.0</v>
      </c>
    </row>
    <row r="249" spans="1:4" customHeight="1" ht="130">
      <c r="A249"/>
      <c r="B249" s="10" t="str">
        <f>"16584"</f>
        <v>16584</v>
      </c>
      <c r="C249" s="11" t="s">
        <v>247</v>
      </c>
      <c r="D249" s="12">
        <v>1390.0</v>
      </c>
    </row>
    <row r="250" spans="1:4" customHeight="1" ht="130">
      <c r="A250"/>
      <c r="B250" s="10" t="str">
        <f>"16586"</f>
        <v>16586</v>
      </c>
      <c r="C250" s="11" t="s">
        <v>248</v>
      </c>
      <c r="D250" s="12">
        <v>955.0</v>
      </c>
    </row>
    <row r="251" spans="1:4" customHeight="1" ht="130">
      <c r="A251"/>
      <c r="B251" s="10" t="str">
        <f>"16588"</f>
        <v>16588</v>
      </c>
      <c r="C251" s="11" t="s">
        <v>249</v>
      </c>
      <c r="D251" s="12">
        <v>1430.0</v>
      </c>
    </row>
    <row r="252" spans="1:4" customHeight="1" ht="130">
      <c r="A252"/>
      <c r="B252" s="10" t="str">
        <f>"16591"</f>
        <v>16591</v>
      </c>
      <c r="C252" s="11" t="s">
        <v>250</v>
      </c>
      <c r="D252" s="12">
        <v>1080.0</v>
      </c>
    </row>
    <row r="253" spans="1:4" customHeight="1" ht="130">
      <c r="A253"/>
      <c r="B253" s="10" t="str">
        <f>"16593"</f>
        <v>16593</v>
      </c>
      <c r="C253" s="11" t="s">
        <v>251</v>
      </c>
      <c r="D253" s="12">
        <v>1080.0</v>
      </c>
    </row>
    <row r="254" spans="1:4" customHeight="1" ht="130">
      <c r="A254"/>
      <c r="B254" s="10" t="str">
        <f>"16594"</f>
        <v>16594</v>
      </c>
      <c r="C254" s="11" t="s">
        <v>252</v>
      </c>
      <c r="D254" s="12">
        <v>1080.0</v>
      </c>
    </row>
    <row r="255" spans="1:4" customHeight="1" ht="130">
      <c r="A255"/>
      <c r="B255" s="10" t="str">
        <f>"16595"</f>
        <v>16595</v>
      </c>
      <c r="C255" s="11" t="s">
        <v>253</v>
      </c>
      <c r="D255" s="12">
        <v>75.0</v>
      </c>
    </row>
    <row r="256" spans="1:4" customHeight="1" ht="130">
      <c r="A256"/>
      <c r="B256" s="10" t="str">
        <f>"16596"</f>
        <v>16596</v>
      </c>
      <c r="C256" s="11" t="s">
        <v>254</v>
      </c>
      <c r="D256" s="12">
        <v>80.0</v>
      </c>
    </row>
    <row r="257" spans="1:4" customHeight="1" ht="130">
      <c r="A257"/>
      <c r="B257" s="10" t="str">
        <f>"16597"</f>
        <v>16597</v>
      </c>
      <c r="C257" s="11" t="s">
        <v>255</v>
      </c>
      <c r="D257" s="12">
        <v>120.0</v>
      </c>
    </row>
    <row r="258" spans="1:4" customHeight="1" ht="130">
      <c r="A258"/>
      <c r="B258" s="10" t="str">
        <f>"16598"</f>
        <v>16598</v>
      </c>
      <c r="C258" s="11" t="s">
        <v>256</v>
      </c>
      <c r="D258" s="12">
        <v>156.0</v>
      </c>
    </row>
    <row r="259" spans="1:4" customHeight="1" ht="130">
      <c r="A259"/>
      <c r="B259" s="10" t="str">
        <f>"16599"</f>
        <v>16599</v>
      </c>
      <c r="C259" s="11" t="s">
        <v>257</v>
      </c>
      <c r="D259" s="12">
        <v>465.0</v>
      </c>
    </row>
    <row r="260" spans="1:4" customHeight="1" ht="130">
      <c r="A260"/>
      <c r="B260" s="10" t="str">
        <f>"16600"</f>
        <v>16600</v>
      </c>
      <c r="C260" s="11" t="s">
        <v>258</v>
      </c>
      <c r="D260" s="12">
        <v>440.0</v>
      </c>
    </row>
    <row r="261" spans="1:4" customHeight="1" ht="130">
      <c r="A261"/>
      <c r="B261" s="10" t="str">
        <f>"16601"</f>
        <v>16601</v>
      </c>
      <c r="C261" s="11" t="s">
        <v>259</v>
      </c>
      <c r="D261" s="12">
        <v>460.0</v>
      </c>
    </row>
    <row r="262" spans="1:4" customHeight="1" ht="130">
      <c r="A262"/>
      <c r="B262" s="10" t="str">
        <f>"16602"</f>
        <v>16602</v>
      </c>
      <c r="C262" s="11" t="s">
        <v>260</v>
      </c>
      <c r="D262" s="12">
        <v>495.0</v>
      </c>
    </row>
    <row r="263" spans="1:4" customHeight="1" ht="130">
      <c r="A263"/>
      <c r="B263" s="10" t="str">
        <f>"16603"</f>
        <v>16603</v>
      </c>
      <c r="C263" s="11" t="s">
        <v>261</v>
      </c>
      <c r="D263" s="12">
        <v>785.0</v>
      </c>
    </row>
    <row r="264" spans="1:4" customHeight="1" ht="130">
      <c r="A264"/>
      <c r="B264" s="10" t="str">
        <f>"16604"</f>
        <v>16604</v>
      </c>
      <c r="C264" s="11" t="s">
        <v>262</v>
      </c>
      <c r="D264" s="12">
        <v>915.0</v>
      </c>
    </row>
    <row r="265" spans="1:4" customHeight="1" ht="130">
      <c r="A265"/>
      <c r="B265" s="10" t="str">
        <f>"16606"</f>
        <v>16606</v>
      </c>
      <c r="C265" s="11" t="s">
        <v>263</v>
      </c>
      <c r="D265" s="12">
        <v>360.0</v>
      </c>
    </row>
    <row r="266" spans="1:4" customHeight="1" ht="130">
      <c r="A266"/>
      <c r="B266" s="10" t="str">
        <f>"16607"</f>
        <v>16607</v>
      </c>
      <c r="C266" s="11" t="s">
        <v>264</v>
      </c>
      <c r="D266" s="12">
        <v>320.0</v>
      </c>
    </row>
    <row r="267" spans="1:4" customHeight="1" ht="130">
      <c r="A267"/>
      <c r="B267" s="10" t="str">
        <f>"16608"</f>
        <v>16608</v>
      </c>
      <c r="C267" s="11" t="s">
        <v>265</v>
      </c>
      <c r="D267" s="12">
        <v>265.0</v>
      </c>
    </row>
    <row r="268" spans="1:4" customHeight="1" ht="130">
      <c r="A268"/>
      <c r="B268" s="10" t="str">
        <f>"16609"</f>
        <v>16609</v>
      </c>
      <c r="C268" s="11" t="s">
        <v>266</v>
      </c>
      <c r="D268" s="12">
        <v>465.0</v>
      </c>
    </row>
    <row r="269" spans="1:4" customHeight="1" ht="130">
      <c r="A269"/>
      <c r="B269" s="10" t="str">
        <f>"16610"</f>
        <v>16610</v>
      </c>
      <c r="C269" s="11" t="s">
        <v>267</v>
      </c>
      <c r="D269" s="12">
        <v>740.0</v>
      </c>
    </row>
    <row r="270" spans="1:4" customHeight="1" ht="130">
      <c r="A270"/>
      <c r="B270" s="10" t="str">
        <f>"16611"</f>
        <v>16611</v>
      </c>
      <c r="C270" s="11" t="s">
        <v>268</v>
      </c>
      <c r="D270" s="12">
        <v>690.0</v>
      </c>
    </row>
    <row r="271" spans="1:4" customHeight="1" ht="130">
      <c r="A271"/>
      <c r="B271" s="10" t="str">
        <f>"16612"</f>
        <v>16612</v>
      </c>
      <c r="C271" s="11" t="s">
        <v>269</v>
      </c>
      <c r="D271" s="12">
        <v>3890.0</v>
      </c>
    </row>
    <row r="272" spans="1:4" customHeight="1" ht="130">
      <c r="A272"/>
      <c r="B272" s="10" t="str">
        <f>"16701"</f>
        <v>16701</v>
      </c>
      <c r="C272" s="11" t="s">
        <v>270</v>
      </c>
      <c r="D272" s="12">
        <v>4356.0</v>
      </c>
    </row>
    <row r="273" spans="1:4" customHeight="1" ht="130">
      <c r="A273"/>
      <c r="B273" s="10" t="str">
        <f>"16713"</f>
        <v>16713</v>
      </c>
      <c r="C273" s="11" t="s">
        <v>271</v>
      </c>
      <c r="D273" s="12">
        <v>415.0</v>
      </c>
    </row>
    <row r="274" spans="1:4" customHeight="1" ht="130">
      <c r="A274"/>
      <c r="B274" s="10" t="str">
        <f>"16798"</f>
        <v>16798</v>
      </c>
      <c r="C274" s="11" t="s">
        <v>272</v>
      </c>
      <c r="D274" s="12">
        <v>2484.0</v>
      </c>
    </row>
    <row r="275" spans="1:4" customHeight="1" ht="130">
      <c r="A275"/>
      <c r="B275" s="10" t="str">
        <f>"16799"</f>
        <v>16799</v>
      </c>
      <c r="C275" s="11" t="s">
        <v>273</v>
      </c>
      <c r="D275" s="12">
        <v>2430.0</v>
      </c>
    </row>
    <row r="276" spans="1:4" customHeight="1" ht="130">
      <c r="A276"/>
      <c r="B276" s="10" t="str">
        <f>"16800"</f>
        <v>16800</v>
      </c>
      <c r="C276" s="11" t="s">
        <v>274</v>
      </c>
      <c r="D276" s="12">
        <v>3600.0</v>
      </c>
    </row>
    <row r="277" spans="1:4" customHeight="1" ht="130">
      <c r="A277"/>
      <c r="B277" s="10" t="str">
        <f>"16801"</f>
        <v>16801</v>
      </c>
      <c r="C277" s="11" t="s">
        <v>275</v>
      </c>
      <c r="D277" s="12">
        <v>3996.0</v>
      </c>
    </row>
    <row r="278" spans="1:4" customHeight="1" ht="130">
      <c r="A278"/>
      <c r="B278" s="10" t="str">
        <f>"16802"</f>
        <v>16802</v>
      </c>
      <c r="C278" s="11" t="s">
        <v>276</v>
      </c>
      <c r="D278" s="12">
        <v>2286.0</v>
      </c>
    </row>
    <row r="279" spans="1:4" customHeight="1" ht="130">
      <c r="A279"/>
      <c r="B279" s="10" t="str">
        <f>"16803"</f>
        <v>16803</v>
      </c>
      <c r="C279" s="11" t="s">
        <v>277</v>
      </c>
      <c r="D279" s="12">
        <v>972.0</v>
      </c>
    </row>
    <row r="280" spans="1:4" customHeight="1" ht="130">
      <c r="A280"/>
      <c r="B280" s="10" t="str">
        <f>"16804"</f>
        <v>16804</v>
      </c>
      <c r="C280" s="11" t="s">
        <v>278</v>
      </c>
      <c r="D280" s="12">
        <v>5850.0</v>
      </c>
    </row>
    <row r="281" spans="1:4" customHeight="1" ht="130">
      <c r="A281"/>
      <c r="B281" s="10" t="str">
        <f>"16903"</f>
        <v>16903</v>
      </c>
      <c r="C281" s="11" t="s">
        <v>279</v>
      </c>
      <c r="D281" s="12">
        <v>13176.0</v>
      </c>
    </row>
    <row r="282" spans="1:4" customHeight="1" ht="130">
      <c r="A282"/>
      <c r="B282" s="10" t="str">
        <f>"16904"</f>
        <v>16904</v>
      </c>
      <c r="C282" s="11" t="s">
        <v>280</v>
      </c>
      <c r="D282" s="12">
        <v>15426.0</v>
      </c>
    </row>
    <row r="283" spans="1:4" customHeight="1" ht="130">
      <c r="A283"/>
      <c r="B283" s="10" t="str">
        <f>"16929"</f>
        <v>16929</v>
      </c>
      <c r="C283" s="11" t="s">
        <v>281</v>
      </c>
      <c r="D283" s="12">
        <v>72.0</v>
      </c>
    </row>
    <row r="284" spans="1:4" customHeight="1" ht="130">
      <c r="A284"/>
      <c r="B284" s="10" t="str">
        <f>"16930"</f>
        <v>16930</v>
      </c>
      <c r="C284" s="11" t="s">
        <v>282</v>
      </c>
      <c r="D284" s="12">
        <v>2030.0</v>
      </c>
    </row>
    <row r="285" spans="1:4" customHeight="1" ht="130">
      <c r="A285"/>
      <c r="B285" s="10" t="str">
        <f>"16952"</f>
        <v>16952</v>
      </c>
      <c r="C285" s="11" t="s">
        <v>283</v>
      </c>
      <c r="D285" s="12">
        <v>1100.0</v>
      </c>
    </row>
    <row r="286" spans="1:4" customHeight="1" ht="130">
      <c r="A286"/>
      <c r="B286" s="10" t="str">
        <f>"17012"</f>
        <v>17012</v>
      </c>
      <c r="C286" s="11" t="s">
        <v>284</v>
      </c>
      <c r="D286" s="12">
        <v>2070.0</v>
      </c>
    </row>
    <row r="287" spans="1:4" customHeight="1" ht="130">
      <c r="A287"/>
      <c r="B287" s="10" t="str">
        <f>"17108"</f>
        <v>17108</v>
      </c>
      <c r="C287" s="11" t="s">
        <v>285</v>
      </c>
      <c r="D287" s="12">
        <v>630.0</v>
      </c>
    </row>
    <row r="288" spans="1:4" customHeight="1" ht="130">
      <c r="A288"/>
      <c r="B288" s="10" t="str">
        <f>"17113"</f>
        <v>17113</v>
      </c>
      <c r="C288" s="11" t="s">
        <v>286</v>
      </c>
      <c r="D288" s="12">
        <v>600.0</v>
      </c>
    </row>
    <row r="289" spans="1:4" customHeight="1" ht="130">
      <c r="A289"/>
      <c r="B289" s="10" t="str">
        <f>"17195"</f>
        <v>17195</v>
      </c>
      <c r="C289" s="11" t="s">
        <v>287</v>
      </c>
      <c r="D289" s="12">
        <v>432.0</v>
      </c>
    </row>
    <row r="290" spans="1:4" customHeight="1" ht="130">
      <c r="A290"/>
      <c r="B290" s="10" t="str">
        <f>"17196"</f>
        <v>17196</v>
      </c>
      <c r="C290" s="11" t="s">
        <v>288</v>
      </c>
      <c r="D290" s="12">
        <v>576.0</v>
      </c>
    </row>
    <row r="291" spans="1:4" customHeight="1" ht="130">
      <c r="A291"/>
      <c r="B291" s="10" t="str">
        <f>"17199"</f>
        <v>17199</v>
      </c>
      <c r="C291" s="11" t="s">
        <v>289</v>
      </c>
      <c r="D291" s="12">
        <v>1116.0</v>
      </c>
    </row>
    <row r="292" spans="1:4" customHeight="1" ht="130">
      <c r="A292"/>
      <c r="B292" s="10" t="str">
        <f>"17235"</f>
        <v>17235</v>
      </c>
      <c r="C292" s="11" t="s">
        <v>290</v>
      </c>
      <c r="D292" s="12">
        <v>975.0</v>
      </c>
    </row>
    <row r="293" spans="1:4" customHeight="1" ht="130">
      <c r="A293"/>
      <c r="B293" s="10" t="str">
        <f>"17423"</f>
        <v>17423</v>
      </c>
      <c r="C293" s="11" t="s">
        <v>291</v>
      </c>
      <c r="D293" s="12">
        <v>1560.0</v>
      </c>
    </row>
    <row r="294" spans="1:4" customHeight="1" ht="130">
      <c r="A294"/>
      <c r="B294" s="10" t="str">
        <f>"17659"</f>
        <v>17659</v>
      </c>
      <c r="C294" s="11" t="s">
        <v>292</v>
      </c>
      <c r="D294" s="12">
        <v>494.0</v>
      </c>
    </row>
    <row r="295" spans="1:4" customHeight="1" ht="130">
      <c r="A295"/>
      <c r="B295" s="10" t="str">
        <f>"17821"</f>
        <v>17821</v>
      </c>
      <c r="C295" s="11" t="s">
        <v>293</v>
      </c>
      <c r="D295" s="12">
        <v>270.0</v>
      </c>
    </row>
    <row r="296" spans="1:4" customHeight="1" ht="130">
      <c r="A296"/>
      <c r="B296" s="10" t="str">
        <f>"17830"</f>
        <v>17830</v>
      </c>
      <c r="C296" s="11" t="s">
        <v>294</v>
      </c>
      <c r="D296" s="12">
        <v>287.0</v>
      </c>
    </row>
    <row r="297" spans="1:4" customHeight="1" ht="130">
      <c r="A297"/>
      <c r="B297" s="10" t="str">
        <f>"18010"</f>
        <v>18010</v>
      </c>
      <c r="C297" s="11" t="s">
        <v>295</v>
      </c>
      <c r="D297" s="12">
        <v>50.0</v>
      </c>
    </row>
    <row r="298" spans="1:4" customHeight="1" ht="130">
      <c r="A298"/>
      <c r="B298" s="10" t="str">
        <f>"18013"</f>
        <v>18013</v>
      </c>
      <c r="C298" s="11" t="s">
        <v>296</v>
      </c>
      <c r="D298" s="12">
        <v>1420.0</v>
      </c>
    </row>
    <row r="299" spans="1:4" customHeight="1" ht="130">
      <c r="A299"/>
      <c r="B299" s="10" t="str">
        <f>"18049"</f>
        <v>18049</v>
      </c>
      <c r="C299" s="11" t="s">
        <v>297</v>
      </c>
      <c r="D299" s="12">
        <v>1800.0</v>
      </c>
    </row>
    <row r="300" spans="1:4" customHeight="1" ht="130">
      <c r="A300"/>
      <c r="B300" s="10" t="str">
        <f>"18064"</f>
        <v>18064</v>
      </c>
      <c r="C300" s="11" t="s">
        <v>298</v>
      </c>
      <c r="D300" s="12">
        <v>126.0</v>
      </c>
    </row>
    <row r="301" spans="1:4" customHeight="1" ht="130">
      <c r="A301"/>
      <c r="B301" s="10" t="str">
        <f>"18203"</f>
        <v>18203</v>
      </c>
      <c r="C301" s="11" t="s">
        <v>299</v>
      </c>
      <c r="D301" s="12">
        <v>975.0</v>
      </c>
    </row>
    <row r="302" spans="1:4" customHeight="1" ht="130">
      <c r="A302"/>
      <c r="B302" s="10" t="str">
        <f>"18204"</f>
        <v>18204</v>
      </c>
      <c r="C302" s="11" t="s">
        <v>300</v>
      </c>
      <c r="D302" s="12">
        <v>887.0</v>
      </c>
    </row>
    <row r="303" spans="1:4" customHeight="1" ht="130">
      <c r="A303"/>
      <c r="B303" s="10" t="str">
        <f>"18205"</f>
        <v>18205</v>
      </c>
      <c r="C303" s="11" t="s">
        <v>301</v>
      </c>
      <c r="D303" s="12">
        <v>96.0</v>
      </c>
    </row>
    <row r="304" spans="1:4" customHeight="1" ht="130">
      <c r="A304"/>
      <c r="B304" s="10" t="str">
        <f>"18322"</f>
        <v>18322</v>
      </c>
      <c r="C304" s="11" t="s">
        <v>302</v>
      </c>
      <c r="D304" s="12">
        <v>6100.0</v>
      </c>
    </row>
    <row r="305" spans="1:4" customHeight="1" ht="130">
      <c r="A305"/>
      <c r="B305" s="10" t="str">
        <f>"18328"</f>
        <v>18328</v>
      </c>
      <c r="C305" s="11" t="s">
        <v>303</v>
      </c>
      <c r="D305" s="12">
        <v>36.0</v>
      </c>
    </row>
    <row r="306" spans="1:4" customHeight="1" ht="130">
      <c r="A306"/>
      <c r="B306" s="10" t="str">
        <f>"18329"</f>
        <v>18329</v>
      </c>
      <c r="C306" s="11" t="s">
        <v>304</v>
      </c>
      <c r="D306" s="12">
        <v>36.0</v>
      </c>
    </row>
    <row r="307" spans="1:4" customHeight="1" ht="130">
      <c r="A307"/>
      <c r="B307" s="10" t="str">
        <f>"18330"</f>
        <v>18330</v>
      </c>
      <c r="C307" s="11" t="s">
        <v>305</v>
      </c>
      <c r="D307" s="12">
        <v>36.0</v>
      </c>
    </row>
    <row r="308" spans="1:4" customHeight="1" ht="130">
      <c r="A308"/>
      <c r="B308" s="10" t="str">
        <f>"18331"</f>
        <v>18331</v>
      </c>
      <c r="C308" s="11" t="s">
        <v>306</v>
      </c>
      <c r="D308" s="12">
        <v>36.0</v>
      </c>
    </row>
    <row r="309" spans="1:4" customHeight="1" ht="130">
      <c r="A309"/>
      <c r="B309" s="10" t="str">
        <f>"18332"</f>
        <v>18332</v>
      </c>
      <c r="C309" s="11" t="s">
        <v>307</v>
      </c>
      <c r="D309" s="12">
        <v>36.0</v>
      </c>
    </row>
    <row r="310" spans="1:4" customHeight="1" ht="130">
      <c r="A310"/>
      <c r="B310" s="10" t="str">
        <f>"18333"</f>
        <v>18333</v>
      </c>
      <c r="C310" s="11" t="s">
        <v>308</v>
      </c>
      <c r="D310" s="12">
        <v>36.0</v>
      </c>
    </row>
    <row r="311" spans="1:4" customHeight="1" ht="130">
      <c r="A311"/>
      <c r="B311" s="10" t="str">
        <f>"18334"</f>
        <v>18334</v>
      </c>
      <c r="C311" s="11" t="s">
        <v>309</v>
      </c>
      <c r="D311" s="12">
        <v>36.0</v>
      </c>
    </row>
    <row r="312" spans="1:4" customHeight="1" ht="130">
      <c r="A312"/>
      <c r="B312" s="10" t="str">
        <f>"18335"</f>
        <v>18335</v>
      </c>
      <c r="C312" s="11" t="s">
        <v>310</v>
      </c>
      <c r="D312" s="12">
        <v>36.0</v>
      </c>
    </row>
    <row r="313" spans="1:4" customHeight="1" ht="130">
      <c r="A313"/>
      <c r="B313" s="10" t="str">
        <f>"18336"</f>
        <v>18336</v>
      </c>
      <c r="C313" s="11" t="s">
        <v>311</v>
      </c>
      <c r="D313" s="12">
        <v>36.0</v>
      </c>
    </row>
    <row r="314" spans="1:4" customHeight="1" ht="130">
      <c r="A314"/>
      <c r="B314" s="10" t="str">
        <f>"18337"</f>
        <v>18337</v>
      </c>
      <c r="C314" s="11" t="s">
        <v>312</v>
      </c>
      <c r="D314" s="12">
        <v>36.0</v>
      </c>
    </row>
    <row r="315" spans="1:4" customHeight="1" ht="130">
      <c r="A315"/>
      <c r="B315" s="10" t="str">
        <f>"18338"</f>
        <v>18338</v>
      </c>
      <c r="C315" s="11" t="s">
        <v>313</v>
      </c>
      <c r="D315" s="12">
        <v>36.0</v>
      </c>
    </row>
    <row r="316" spans="1:4" customHeight="1" ht="130">
      <c r="A316"/>
      <c r="B316" s="10" t="str">
        <f>"18339"</f>
        <v>18339</v>
      </c>
      <c r="C316" s="11" t="s">
        <v>314</v>
      </c>
      <c r="D316" s="12">
        <v>36.0</v>
      </c>
    </row>
    <row r="317" spans="1:4" customHeight="1" ht="130">
      <c r="A317"/>
      <c r="B317" s="10" t="str">
        <f>"18340"</f>
        <v>18340</v>
      </c>
      <c r="C317" s="11" t="s">
        <v>315</v>
      </c>
      <c r="D317" s="12">
        <v>36.0</v>
      </c>
    </row>
    <row r="318" spans="1:4" customHeight="1" ht="130">
      <c r="A318"/>
      <c r="B318" s="10" t="str">
        <f>"18342"</f>
        <v>18342</v>
      </c>
      <c r="C318" s="11" t="s">
        <v>316</v>
      </c>
      <c r="D318" s="12">
        <v>36.0</v>
      </c>
    </row>
    <row r="319" spans="1:4" customHeight="1" ht="130">
      <c r="A319"/>
      <c r="B319" s="10" t="str">
        <f>"18344"</f>
        <v>18344</v>
      </c>
      <c r="C319" s="11" t="s">
        <v>317</v>
      </c>
      <c r="D319" s="12">
        <v>36.0</v>
      </c>
    </row>
    <row r="320" spans="1:4" customHeight="1" ht="130">
      <c r="A320"/>
      <c r="B320" s="10" t="str">
        <f>"18345"</f>
        <v>18345</v>
      </c>
      <c r="C320" s="11" t="s">
        <v>318</v>
      </c>
      <c r="D320" s="12">
        <v>36.0</v>
      </c>
    </row>
    <row r="321" spans="1:4" customHeight="1" ht="130">
      <c r="A321"/>
      <c r="B321" s="10" t="str">
        <f>"18346"</f>
        <v>18346</v>
      </c>
      <c r="C321" s="11" t="s">
        <v>319</v>
      </c>
      <c r="D321" s="12">
        <v>36.0</v>
      </c>
    </row>
    <row r="322" spans="1:4" customHeight="1" ht="130">
      <c r="A322"/>
      <c r="B322" s="10" t="str">
        <f>"18347"</f>
        <v>18347</v>
      </c>
      <c r="C322" s="11" t="s">
        <v>320</v>
      </c>
      <c r="D322" s="12">
        <v>36.0</v>
      </c>
    </row>
    <row r="323" spans="1:4" customHeight="1" ht="130">
      <c r="A323"/>
      <c r="B323" s="10" t="str">
        <f>"18348"</f>
        <v>18348</v>
      </c>
      <c r="C323" s="11" t="s">
        <v>321</v>
      </c>
      <c r="D323" s="12">
        <v>36.0</v>
      </c>
    </row>
    <row r="324" spans="1:4" customHeight="1" ht="130">
      <c r="A324"/>
      <c r="B324" s="10" t="str">
        <f>"18349"</f>
        <v>18349</v>
      </c>
      <c r="C324" s="11" t="s">
        <v>322</v>
      </c>
      <c r="D324" s="12">
        <v>36.0</v>
      </c>
    </row>
    <row r="325" spans="1:4" customHeight="1" ht="130">
      <c r="A325"/>
      <c r="B325" s="10" t="str">
        <f>"18350"</f>
        <v>18350</v>
      </c>
      <c r="C325" s="11" t="s">
        <v>323</v>
      </c>
      <c r="D325" s="12">
        <v>36.0</v>
      </c>
    </row>
    <row r="326" spans="1:4" customHeight="1" ht="130">
      <c r="A326"/>
      <c r="B326" s="10" t="str">
        <f>"18351"</f>
        <v>18351</v>
      </c>
      <c r="C326" s="11" t="s">
        <v>324</v>
      </c>
      <c r="D326" s="12">
        <v>36.0</v>
      </c>
    </row>
    <row r="327" spans="1:4" customHeight="1" ht="130">
      <c r="A327"/>
      <c r="B327" s="10" t="str">
        <f>"18352"</f>
        <v>18352</v>
      </c>
      <c r="C327" s="11" t="s">
        <v>325</v>
      </c>
      <c r="D327" s="12">
        <v>36.0</v>
      </c>
    </row>
    <row r="328" spans="1:4" customHeight="1" ht="130">
      <c r="A328"/>
      <c r="B328" s="10" t="str">
        <f>"18353"</f>
        <v>18353</v>
      </c>
      <c r="C328" s="11" t="s">
        <v>326</v>
      </c>
      <c r="D328" s="12">
        <v>36.0</v>
      </c>
    </row>
    <row r="329" spans="1:4" customHeight="1" ht="130">
      <c r="A329"/>
      <c r="B329" s="10" t="str">
        <f>"18459"</f>
        <v>18459</v>
      </c>
      <c r="C329" s="11" t="s">
        <v>327</v>
      </c>
      <c r="D329" s="12">
        <v>5616.0</v>
      </c>
    </row>
    <row r="330" spans="1:4" customHeight="1" ht="130">
      <c r="A330"/>
      <c r="B330" s="10" t="str">
        <f>"18461"</f>
        <v>18461</v>
      </c>
      <c r="C330" s="11" t="s">
        <v>328</v>
      </c>
      <c r="D330" s="12">
        <v>126.0</v>
      </c>
    </row>
    <row r="331" spans="1:4" customHeight="1" ht="130">
      <c r="A331"/>
      <c r="B331" s="10" t="str">
        <f>"18465"</f>
        <v>18465</v>
      </c>
      <c r="C331" s="11" t="s">
        <v>329</v>
      </c>
      <c r="D331" s="12">
        <v>915.0</v>
      </c>
    </row>
    <row r="332" spans="1:4" customHeight="1" ht="130">
      <c r="A332"/>
      <c r="B332" s="10" t="str">
        <f>"18466"</f>
        <v>18466</v>
      </c>
      <c r="C332" s="11" t="s">
        <v>330</v>
      </c>
      <c r="D332" s="12">
        <v>660.0</v>
      </c>
    </row>
    <row r="333" spans="1:4" customHeight="1" ht="130">
      <c r="A333"/>
      <c r="B333" s="10" t="str">
        <f>"18467"</f>
        <v>18467</v>
      </c>
      <c r="C333" s="11" t="s">
        <v>331</v>
      </c>
      <c r="D333" s="12">
        <v>730.0</v>
      </c>
    </row>
    <row r="334" spans="1:4" customHeight="1" ht="130">
      <c r="A334"/>
      <c r="B334" s="10" t="str">
        <f>"18468"</f>
        <v>18468</v>
      </c>
      <c r="C334" s="11" t="s">
        <v>332</v>
      </c>
      <c r="D334" s="12">
        <v>925.0</v>
      </c>
    </row>
    <row r="335" spans="1:4" customHeight="1" ht="130">
      <c r="A335"/>
      <c r="B335" s="10" t="str">
        <f>"18469"</f>
        <v>18469</v>
      </c>
      <c r="C335" s="11" t="s">
        <v>333</v>
      </c>
      <c r="D335" s="12">
        <v>870.0</v>
      </c>
    </row>
    <row r="336" spans="1:4" customHeight="1" ht="130">
      <c r="A336"/>
      <c r="B336" s="10" t="str">
        <f>"18547"</f>
        <v>18547</v>
      </c>
      <c r="C336" s="11" t="s">
        <v>334</v>
      </c>
      <c r="D336" s="12">
        <v>1950.0</v>
      </c>
    </row>
    <row r="337" spans="1:4" customHeight="1" ht="130">
      <c r="A337"/>
      <c r="B337" s="10" t="str">
        <f>"18551"</f>
        <v>18551</v>
      </c>
      <c r="C337" s="11" t="s">
        <v>335</v>
      </c>
      <c r="D337" s="12">
        <v>264.0</v>
      </c>
    </row>
    <row r="338" spans="1:4" customHeight="1" ht="130">
      <c r="A338"/>
      <c r="B338" s="10" t="str">
        <f>"18589"</f>
        <v>18589</v>
      </c>
      <c r="C338" s="11" t="s">
        <v>336</v>
      </c>
      <c r="D338" s="12">
        <v>2376.0</v>
      </c>
    </row>
    <row r="339" spans="1:4" customHeight="1" ht="130">
      <c r="A339"/>
      <c r="B339" s="10" t="str">
        <f>"18608"</f>
        <v>18608</v>
      </c>
      <c r="C339" s="11" t="s">
        <v>337</v>
      </c>
      <c r="D339" s="12">
        <v>950.0</v>
      </c>
    </row>
    <row r="340" spans="1:4" customHeight="1" ht="130">
      <c r="A340"/>
      <c r="B340" s="10" t="str">
        <f>"18609"</f>
        <v>18609</v>
      </c>
      <c r="C340" s="11" t="s">
        <v>338</v>
      </c>
      <c r="D340" s="12">
        <v>1150.0</v>
      </c>
    </row>
    <row r="341" spans="1:4" customHeight="1" ht="130">
      <c r="A341"/>
      <c r="B341" s="10" t="str">
        <f>"18624"</f>
        <v>18624</v>
      </c>
      <c r="C341" s="11" t="s">
        <v>339</v>
      </c>
      <c r="D341" s="12">
        <v>40.0</v>
      </c>
    </row>
    <row r="342" spans="1:4" customHeight="1" ht="130">
      <c r="A342"/>
      <c r="B342" s="10" t="str">
        <f>"18737"</f>
        <v>18737</v>
      </c>
      <c r="C342" s="11" t="s">
        <v>340</v>
      </c>
      <c r="D342" s="12">
        <v>522.0</v>
      </c>
    </row>
    <row r="343" spans="1:4" customHeight="1" ht="130">
      <c r="A343"/>
      <c r="B343" s="10" t="str">
        <f>"18792"</f>
        <v>18792</v>
      </c>
      <c r="C343" s="11" t="s">
        <v>341</v>
      </c>
      <c r="D343" s="12">
        <v>486.0</v>
      </c>
    </row>
    <row r="344" spans="1:4" customHeight="1" ht="130">
      <c r="A344"/>
      <c r="B344" s="10" t="str">
        <f>"19034"</f>
        <v>19034</v>
      </c>
      <c r="C344" s="11" t="s">
        <v>342</v>
      </c>
      <c r="D344" s="12">
        <v>539.0</v>
      </c>
    </row>
    <row r="345" spans="1:4" customHeight="1" ht="130">
      <c r="A345"/>
      <c r="B345" s="10" t="str">
        <f>"19041"</f>
        <v>19041</v>
      </c>
      <c r="C345" s="11" t="s">
        <v>343</v>
      </c>
      <c r="D345" s="12">
        <v>11016.0</v>
      </c>
    </row>
    <row r="346" spans="1:4" customHeight="1" ht="130">
      <c r="A346"/>
      <c r="B346" s="10" t="str">
        <f>"19067"</f>
        <v>19067</v>
      </c>
      <c r="C346" s="11" t="s">
        <v>344</v>
      </c>
      <c r="D346" s="12">
        <v>8050.0</v>
      </c>
    </row>
    <row r="347" spans="1:4" customHeight="1" ht="130">
      <c r="A347"/>
      <c r="B347" s="10" t="str">
        <f>"19068"</f>
        <v>19068</v>
      </c>
      <c r="C347" s="11" t="s">
        <v>345</v>
      </c>
      <c r="D347" s="12">
        <v>1782.0</v>
      </c>
    </row>
    <row r="348" spans="1:4" customHeight="1" ht="130">
      <c r="A348"/>
      <c r="B348" s="10" t="str">
        <f>"19084"</f>
        <v>19084</v>
      </c>
      <c r="C348" s="11" t="s">
        <v>346</v>
      </c>
      <c r="D348" s="12">
        <v>2358.0</v>
      </c>
    </row>
    <row r="349" spans="1:4" customHeight="1" ht="130">
      <c r="A349"/>
      <c r="B349" s="10" t="str">
        <f>"19283"</f>
        <v>19283</v>
      </c>
      <c r="C349" s="11" t="s">
        <v>347</v>
      </c>
      <c r="D349" s="12">
        <v>676.0</v>
      </c>
    </row>
    <row r="350" spans="1:4" customHeight="1" ht="130">
      <c r="A350"/>
      <c r="B350" s="10" t="str">
        <f>"19284"</f>
        <v>19284</v>
      </c>
      <c r="C350" s="11" t="s">
        <v>348</v>
      </c>
      <c r="D350" s="12">
        <v>34.0</v>
      </c>
    </row>
    <row r="351" spans="1:4" customHeight="1" ht="130">
      <c r="A351"/>
      <c r="B351" s="10" t="str">
        <f>"19435"</f>
        <v>19435</v>
      </c>
      <c r="C351" s="11" t="s">
        <v>349</v>
      </c>
      <c r="D351" s="12">
        <v>7668.0</v>
      </c>
    </row>
    <row r="352" spans="1:4" customHeight="1" ht="130">
      <c r="A352"/>
      <c r="B352" s="10" t="str">
        <f>"19453"</f>
        <v>19453</v>
      </c>
      <c r="C352" s="11" t="s">
        <v>350</v>
      </c>
      <c r="D352" s="12">
        <v>195.0</v>
      </c>
    </row>
    <row r="353" spans="1:4" customHeight="1" ht="130">
      <c r="A353"/>
      <c r="B353" s="10" t="str">
        <f>"19471"</f>
        <v>19471</v>
      </c>
      <c r="C353" s="11" t="s">
        <v>351</v>
      </c>
      <c r="D353" s="12">
        <v>104.0</v>
      </c>
    </row>
    <row r="354" spans="1:4" customHeight="1" ht="130">
      <c r="A354"/>
      <c r="B354" s="10" t="str">
        <f>"19556"</f>
        <v>19556</v>
      </c>
      <c r="C354" s="11" t="s">
        <v>352</v>
      </c>
      <c r="D354" s="12">
        <v>325.0</v>
      </c>
    </row>
    <row r="355" spans="1:4" customHeight="1" ht="130">
      <c r="A355"/>
      <c r="B355" s="10" t="str">
        <f>"19647"</f>
        <v>19647</v>
      </c>
      <c r="C355" s="11" t="s">
        <v>353</v>
      </c>
      <c r="D355" s="12">
        <v>1670.0</v>
      </c>
    </row>
    <row r="356" spans="1:4" customHeight="1" ht="130">
      <c r="A356"/>
      <c r="B356" s="10" t="str">
        <f>"19675"</f>
        <v>19675</v>
      </c>
      <c r="C356" s="11" t="s">
        <v>354</v>
      </c>
      <c r="D356" s="12">
        <v>410.0</v>
      </c>
    </row>
    <row r="357" spans="1:4" customHeight="1" ht="130">
      <c r="A357"/>
      <c r="B357" s="10" t="str">
        <f>"19676"</f>
        <v>19676</v>
      </c>
      <c r="C357" s="11" t="s">
        <v>355</v>
      </c>
      <c r="D357" s="12">
        <v>2250.0</v>
      </c>
    </row>
    <row r="358" spans="1:4" customHeight="1" ht="130">
      <c r="A358"/>
      <c r="B358" s="10" t="str">
        <f>"19679"</f>
        <v>19679</v>
      </c>
      <c r="C358" s="11" t="s">
        <v>356</v>
      </c>
      <c r="D358" s="12">
        <v>7970.0</v>
      </c>
    </row>
    <row r="359" spans="1:4" customHeight="1" ht="130">
      <c r="A359"/>
      <c r="B359" s="10" t="str">
        <f>"19680"</f>
        <v>19680</v>
      </c>
      <c r="C359" s="11" t="s">
        <v>357</v>
      </c>
      <c r="D359" s="12">
        <v>7920.0</v>
      </c>
    </row>
    <row r="360" spans="1:4" customHeight="1" ht="130">
      <c r="A360"/>
      <c r="B360" s="10" t="str">
        <f>"19681"</f>
        <v>19681</v>
      </c>
      <c r="C360" s="11" t="s">
        <v>358</v>
      </c>
      <c r="D360" s="12">
        <v>7920.0</v>
      </c>
    </row>
    <row r="361" spans="1:4" customHeight="1" ht="130">
      <c r="A361"/>
      <c r="B361" s="10" t="str">
        <f>"19682"</f>
        <v>19682</v>
      </c>
      <c r="C361" s="11" t="s">
        <v>359</v>
      </c>
      <c r="D361" s="12">
        <v>1300.0</v>
      </c>
    </row>
    <row r="362" spans="1:4" customHeight="1" ht="130">
      <c r="A362"/>
      <c r="B362" s="10" t="str">
        <f>"19683"</f>
        <v>19683</v>
      </c>
      <c r="C362" s="11" t="s">
        <v>360</v>
      </c>
      <c r="D362" s="12">
        <v>1485.0</v>
      </c>
    </row>
    <row r="363" spans="1:4" customHeight="1" ht="130">
      <c r="A363"/>
      <c r="B363" s="10" t="str">
        <f>"19726"</f>
        <v>19726</v>
      </c>
      <c r="C363" s="11" t="s">
        <v>361</v>
      </c>
      <c r="D363" s="12">
        <v>288.0</v>
      </c>
    </row>
    <row r="364" spans="1:4" customHeight="1" ht="130">
      <c r="A364"/>
      <c r="B364" s="10" t="str">
        <f>"19727"</f>
        <v>19727</v>
      </c>
      <c r="C364" s="11" t="s">
        <v>362</v>
      </c>
      <c r="D364" s="12">
        <v>774.0</v>
      </c>
    </row>
    <row r="365" spans="1:4" customHeight="1" ht="130">
      <c r="A365"/>
      <c r="B365" s="10" t="str">
        <f>"19728"</f>
        <v>19728</v>
      </c>
      <c r="C365" s="11" t="s">
        <v>363</v>
      </c>
      <c r="D365" s="12">
        <v>792.0</v>
      </c>
    </row>
    <row r="366" spans="1:4" customHeight="1" ht="130">
      <c r="A366"/>
      <c r="B366" s="10" t="str">
        <f>"19746"</f>
        <v>19746</v>
      </c>
      <c r="C366" s="11" t="s">
        <v>364</v>
      </c>
      <c r="D366" s="12">
        <v>60.0</v>
      </c>
    </row>
    <row r="367" spans="1:4" customHeight="1" ht="130">
      <c r="A367"/>
      <c r="B367" s="10" t="str">
        <f>"19901"</f>
        <v>19901</v>
      </c>
      <c r="C367" s="11" t="s">
        <v>365</v>
      </c>
      <c r="D367" s="12">
        <v>270.0</v>
      </c>
    </row>
    <row r="368" spans="1:4" customHeight="1" ht="130">
      <c r="A368"/>
      <c r="B368" s="10" t="str">
        <f>"20072"</f>
        <v>20072</v>
      </c>
      <c r="C368" s="11" t="s">
        <v>366</v>
      </c>
      <c r="D368" s="12">
        <v>7380.0</v>
      </c>
    </row>
    <row r="369" spans="1:4" customHeight="1" ht="130">
      <c r="A369"/>
      <c r="B369" s="10" t="str">
        <f>"20126"</f>
        <v>20126</v>
      </c>
      <c r="C369" s="11" t="s">
        <v>367</v>
      </c>
      <c r="D369" s="12">
        <v>135.0</v>
      </c>
    </row>
    <row r="370" spans="1:4" customHeight="1" ht="130">
      <c r="A370"/>
      <c r="B370" s="10" t="str">
        <f>"20127"</f>
        <v>20127</v>
      </c>
      <c r="C370" s="11" t="s">
        <v>368</v>
      </c>
      <c r="D370" s="12">
        <v>73.0</v>
      </c>
    </row>
    <row r="371" spans="1:4" customHeight="1" ht="130">
      <c r="A371"/>
      <c r="B371" s="10" t="str">
        <f>"20128"</f>
        <v>20128</v>
      </c>
      <c r="C371" s="11" t="s">
        <v>369</v>
      </c>
      <c r="D371" s="12">
        <v>40.0</v>
      </c>
    </row>
    <row r="372" spans="1:4" customHeight="1" ht="130">
      <c r="A372"/>
      <c r="B372" s="10" t="str">
        <f>"20129"</f>
        <v>20129</v>
      </c>
      <c r="C372" s="11" t="s">
        <v>370</v>
      </c>
      <c r="D372" s="12">
        <v>40.0</v>
      </c>
    </row>
    <row r="373" spans="1:4" customHeight="1" ht="130">
      <c r="A373"/>
      <c r="B373" s="10" t="str">
        <f>"20249"</f>
        <v>20249</v>
      </c>
      <c r="C373" s="11" t="s">
        <v>371</v>
      </c>
      <c r="D373" s="12">
        <v>1440.0</v>
      </c>
    </row>
    <row r="374" spans="1:4" customHeight="1" ht="130">
      <c r="A374"/>
      <c r="B374" s="10" t="str">
        <f>"20252"</f>
        <v>20252</v>
      </c>
      <c r="C374" s="11" t="s">
        <v>372</v>
      </c>
      <c r="D374" s="12">
        <v>403.0</v>
      </c>
    </row>
    <row r="375" spans="1:4" customHeight="1" ht="130">
      <c r="A375"/>
      <c r="B375" s="10" t="str">
        <f>"20341"</f>
        <v>20341</v>
      </c>
      <c r="C375" s="11" t="s">
        <v>373</v>
      </c>
      <c r="D375" s="12">
        <v>1350.0</v>
      </c>
    </row>
    <row r="376" spans="1:4" customHeight="1" ht="130">
      <c r="A376"/>
      <c r="B376" s="10" t="str">
        <f>"20342"</f>
        <v>20342</v>
      </c>
      <c r="C376" s="11" t="s">
        <v>374</v>
      </c>
      <c r="D376" s="12">
        <v>1700.0</v>
      </c>
    </row>
    <row r="377" spans="1:4" customHeight="1" ht="130">
      <c r="A377"/>
      <c r="B377" s="10" t="str">
        <f>"20359"</f>
        <v>20359</v>
      </c>
      <c r="C377" s="11" t="s">
        <v>375</v>
      </c>
      <c r="D377" s="12">
        <v>1716.0</v>
      </c>
    </row>
    <row r="378" spans="1:4" customHeight="1" ht="130">
      <c r="A378"/>
      <c r="B378" s="10" t="str">
        <f>"20404"</f>
        <v>20404</v>
      </c>
      <c r="C378" s="11" t="s">
        <v>376</v>
      </c>
      <c r="D378" s="12">
        <v>280.0</v>
      </c>
    </row>
    <row r="379" spans="1:4" customHeight="1" ht="130">
      <c r="A379"/>
      <c r="B379" s="10" t="str">
        <f>"20420"</f>
        <v>20420</v>
      </c>
      <c r="C379" s="11" t="s">
        <v>377</v>
      </c>
      <c r="D379" s="12">
        <v>1105.0</v>
      </c>
    </row>
    <row r="380" spans="1:4" customHeight="1" ht="130">
      <c r="A380"/>
      <c r="B380" s="10" t="str">
        <f>"20494"</f>
        <v>20494</v>
      </c>
      <c r="C380" s="11" t="s">
        <v>378</v>
      </c>
      <c r="D380" s="12">
        <v>864.0</v>
      </c>
    </row>
    <row r="381" spans="1:4" customHeight="1" ht="130">
      <c r="A381"/>
      <c r="B381" s="10" t="str">
        <f>"20709"</f>
        <v>20709</v>
      </c>
      <c r="C381" s="11" t="s">
        <v>379</v>
      </c>
      <c r="D381" s="12">
        <v>10386.0</v>
      </c>
    </row>
    <row r="382" spans="1:4" customHeight="1" ht="130">
      <c r="A382"/>
      <c r="B382" s="10" t="str">
        <f>"20710"</f>
        <v>20710</v>
      </c>
      <c r="C382" s="11" t="s">
        <v>380</v>
      </c>
      <c r="D382" s="12">
        <v>162.0</v>
      </c>
    </row>
    <row r="383" spans="1:4" customHeight="1" ht="130">
      <c r="A383"/>
      <c r="B383" s="10" t="str">
        <f>"20711"</f>
        <v>20711</v>
      </c>
      <c r="C383" s="11" t="s">
        <v>381</v>
      </c>
      <c r="D383" s="12">
        <v>360.0</v>
      </c>
    </row>
    <row r="384" spans="1:4" customHeight="1" ht="130">
      <c r="A384"/>
      <c r="B384" s="10" t="str">
        <f>"20712"</f>
        <v>20712</v>
      </c>
      <c r="C384" s="11" t="s">
        <v>382</v>
      </c>
      <c r="D384" s="12">
        <v>468.0</v>
      </c>
    </row>
    <row r="385" spans="1:4" customHeight="1" ht="130">
      <c r="A385"/>
      <c r="B385" s="10" t="str">
        <f>"20713"</f>
        <v>20713</v>
      </c>
      <c r="C385" s="11" t="s">
        <v>383</v>
      </c>
      <c r="D385" s="12">
        <v>342.0</v>
      </c>
    </row>
    <row r="386" spans="1:4" customHeight="1" ht="130">
      <c r="A386"/>
      <c r="B386" s="10" t="str">
        <f>"20714"</f>
        <v>20714</v>
      </c>
      <c r="C386" s="11" t="s">
        <v>384</v>
      </c>
      <c r="D386" s="12">
        <v>576.0</v>
      </c>
    </row>
    <row r="387" spans="1:4" customHeight="1" ht="130">
      <c r="A387"/>
      <c r="B387" s="10" t="str">
        <f>"20762"</f>
        <v>20762</v>
      </c>
      <c r="C387" s="11" t="s">
        <v>385</v>
      </c>
      <c r="D387" s="12">
        <v>980.0</v>
      </c>
    </row>
    <row r="388" spans="1:4" customHeight="1" ht="130">
      <c r="A388"/>
      <c r="B388" s="10" t="str">
        <f>"20814"</f>
        <v>20814</v>
      </c>
      <c r="C388" s="11" t="s">
        <v>386</v>
      </c>
      <c r="D388" s="12">
        <v>7755.0</v>
      </c>
    </row>
    <row r="389" spans="1:4" customHeight="1" ht="130">
      <c r="A389"/>
      <c r="B389" s="10" t="str">
        <f>"20911"</f>
        <v>20911</v>
      </c>
      <c r="C389" s="11" t="s">
        <v>387</v>
      </c>
      <c r="D389" s="12">
        <v>9380.0</v>
      </c>
    </row>
    <row r="390" spans="1:4" customHeight="1" ht="130">
      <c r="A390"/>
      <c r="B390" s="10" t="str">
        <f>"21008"</f>
        <v>21008</v>
      </c>
      <c r="C390" s="11" t="s">
        <v>388</v>
      </c>
      <c r="D390" s="12">
        <v>117.0</v>
      </c>
    </row>
    <row r="391" spans="1:4" customHeight="1" ht="130">
      <c r="A391"/>
      <c r="B391" s="10" t="str">
        <f>"21009"</f>
        <v>21009</v>
      </c>
      <c r="C391" s="11" t="s">
        <v>389</v>
      </c>
      <c r="D391" s="12">
        <v>8580.0</v>
      </c>
    </row>
    <row r="392" spans="1:4" customHeight="1" ht="130">
      <c r="A392"/>
      <c r="B392" s="10" t="str">
        <f>"21519"</f>
        <v>21519</v>
      </c>
      <c r="C392" s="11" t="s">
        <v>390</v>
      </c>
      <c r="D392" s="12">
        <v>400.0</v>
      </c>
    </row>
    <row r="393" spans="1:4" customHeight="1" ht="130">
      <c r="A393"/>
      <c r="B393" s="10" t="str">
        <f>"21523"</f>
        <v>21523</v>
      </c>
      <c r="C393" s="11" t="s">
        <v>391</v>
      </c>
      <c r="D393" s="12">
        <v>500.0</v>
      </c>
    </row>
    <row r="394" spans="1:4" customHeight="1" ht="130">
      <c r="A394"/>
      <c r="B394" s="10" t="str">
        <f>"21525"</f>
        <v>21525</v>
      </c>
      <c r="C394" s="11" t="s">
        <v>392</v>
      </c>
      <c r="D394" s="12">
        <v>80.0</v>
      </c>
    </row>
    <row r="395" spans="1:4" customHeight="1" ht="130">
      <c r="A395"/>
      <c r="B395" s="10" t="str">
        <f>"21527"</f>
        <v>21527</v>
      </c>
      <c r="C395" s="11" t="s">
        <v>393</v>
      </c>
      <c r="D395" s="12">
        <v>80.0</v>
      </c>
    </row>
    <row r="396" spans="1:4" customHeight="1" ht="130">
      <c r="A396"/>
      <c r="B396" s="10" t="str">
        <f>"21528"</f>
        <v>21528</v>
      </c>
      <c r="C396" s="11" t="s">
        <v>394</v>
      </c>
      <c r="D396" s="12">
        <v>104.0</v>
      </c>
    </row>
    <row r="397" spans="1:4" customHeight="1" ht="130">
      <c r="A397"/>
      <c r="B397" s="10" t="str">
        <f>"21529"</f>
        <v>21529</v>
      </c>
      <c r="C397" s="11" t="s">
        <v>395</v>
      </c>
      <c r="D397" s="12">
        <v>500.0</v>
      </c>
    </row>
    <row r="398" spans="1:4" customHeight="1" ht="130">
      <c r="A398"/>
      <c r="B398" s="10" t="str">
        <f>"21563"</f>
        <v>21563</v>
      </c>
      <c r="C398" s="11" t="s">
        <v>396</v>
      </c>
      <c r="D398" s="12">
        <v>370.0</v>
      </c>
    </row>
    <row r="399" spans="1:4" customHeight="1" ht="130">
      <c r="A399"/>
      <c r="B399" s="10" t="str">
        <f>"21564"</f>
        <v>21564</v>
      </c>
      <c r="C399" s="11" t="s">
        <v>397</v>
      </c>
      <c r="D399" s="12">
        <v>2450.0</v>
      </c>
    </row>
    <row r="400" spans="1:4" customHeight="1" ht="130">
      <c r="A400"/>
      <c r="B400" s="10" t="str">
        <f>"21569"</f>
        <v>21569</v>
      </c>
      <c r="C400" s="11" t="s">
        <v>398</v>
      </c>
      <c r="D400" s="12">
        <v>162.0</v>
      </c>
    </row>
    <row r="401" spans="1:4" customHeight="1" ht="130">
      <c r="A401"/>
      <c r="B401" s="10" t="str">
        <f>"21618"</f>
        <v>21618</v>
      </c>
      <c r="C401" s="11" t="s">
        <v>399</v>
      </c>
      <c r="D401" s="12">
        <v>1386.0</v>
      </c>
    </row>
    <row r="402" spans="1:4" customHeight="1" ht="130">
      <c r="A402"/>
      <c r="B402" s="10" t="str">
        <f>"21777"</f>
        <v>21777</v>
      </c>
      <c r="C402" s="11" t="s">
        <v>400</v>
      </c>
      <c r="D402" s="12">
        <v>40.0</v>
      </c>
    </row>
    <row r="403" spans="1:4" customHeight="1" ht="130">
      <c r="A403"/>
      <c r="B403" s="10" t="str">
        <f>"21795"</f>
        <v>21795</v>
      </c>
      <c r="C403" s="11" t="s">
        <v>401</v>
      </c>
      <c r="D403" s="12">
        <v>396.0</v>
      </c>
    </row>
    <row r="404" spans="1:4" customHeight="1" ht="130">
      <c r="A404"/>
      <c r="B404" s="10" t="str">
        <f>"21796"</f>
        <v>21796</v>
      </c>
      <c r="C404" s="11" t="s">
        <v>402</v>
      </c>
      <c r="D404" s="12">
        <v>1386.0</v>
      </c>
    </row>
    <row r="405" spans="1:4" customHeight="1" ht="130">
      <c r="A405"/>
      <c r="B405" s="10" t="str">
        <f>"21849"</f>
        <v>21849</v>
      </c>
      <c r="C405" s="11" t="s">
        <v>403</v>
      </c>
      <c r="D405" s="12">
        <v>8360.0</v>
      </c>
    </row>
    <row r="406" spans="1:4" customHeight="1" ht="130">
      <c r="A406"/>
      <c r="B406" s="10" t="str">
        <f>"21938"</f>
        <v>21938</v>
      </c>
      <c r="C406" s="11" t="s">
        <v>404</v>
      </c>
      <c r="D406" s="12">
        <v>325.0</v>
      </c>
    </row>
    <row r="407" spans="1:4" customHeight="1" ht="130">
      <c r="A407"/>
      <c r="B407" s="10" t="str">
        <f>"22143"</f>
        <v>22143</v>
      </c>
      <c r="C407" s="11" t="s">
        <v>405</v>
      </c>
      <c r="D407" s="12">
        <v>95.0</v>
      </c>
    </row>
    <row r="408" spans="1:4" customHeight="1" ht="130">
      <c r="A408"/>
      <c r="B408" s="10" t="str">
        <f>"22153"</f>
        <v>22153</v>
      </c>
      <c r="C408" s="11" t="s">
        <v>406</v>
      </c>
      <c r="D408" s="12">
        <v>1116.0</v>
      </c>
    </row>
    <row r="409" spans="1:4" customHeight="1" ht="130">
      <c r="A409"/>
      <c r="B409" s="10" t="str">
        <f>"22154"</f>
        <v>22154</v>
      </c>
      <c r="C409" s="11" t="s">
        <v>407</v>
      </c>
      <c r="D409" s="12">
        <v>360.0</v>
      </c>
    </row>
    <row r="410" spans="1:4" customHeight="1" ht="130">
      <c r="A410"/>
      <c r="B410" s="10" t="str">
        <f>"22161"</f>
        <v>22161</v>
      </c>
      <c r="C410" s="11" t="s">
        <v>408</v>
      </c>
      <c r="D410" s="12">
        <v>130.0</v>
      </c>
    </row>
    <row r="411" spans="1:4" customHeight="1" ht="130">
      <c r="A411"/>
      <c r="B411" s="10" t="str">
        <f>"22175"</f>
        <v>22175</v>
      </c>
      <c r="C411" s="11" t="s">
        <v>409</v>
      </c>
      <c r="D411" s="12">
        <v>2466.0</v>
      </c>
    </row>
    <row r="412" spans="1:4" customHeight="1" ht="130">
      <c r="A412"/>
      <c r="B412" s="10" t="str">
        <f>"22176"</f>
        <v>22176</v>
      </c>
      <c r="C412" s="11" t="s">
        <v>410</v>
      </c>
      <c r="D412" s="12">
        <v>17940.0</v>
      </c>
    </row>
    <row r="413" spans="1:4" customHeight="1" ht="130">
      <c r="A413"/>
      <c r="B413" s="10" t="str">
        <f>"22234"</f>
        <v>22234</v>
      </c>
      <c r="C413" s="11" t="s">
        <v>411</v>
      </c>
      <c r="D413" s="12">
        <v>558.0</v>
      </c>
    </row>
    <row r="414" spans="1:4" customHeight="1" ht="130">
      <c r="A414"/>
      <c r="B414" s="10" t="str">
        <f>"22308"</f>
        <v>22308</v>
      </c>
      <c r="C414" s="11" t="s">
        <v>412</v>
      </c>
      <c r="D414" s="12">
        <v>558.0</v>
      </c>
    </row>
    <row r="415" spans="1:4" customHeight="1" ht="130">
      <c r="A415"/>
      <c r="B415" s="10" t="str">
        <f>"22327"</f>
        <v>22327</v>
      </c>
      <c r="C415" s="11" t="s">
        <v>413</v>
      </c>
      <c r="D415" s="12">
        <v>370.0</v>
      </c>
    </row>
    <row r="416" spans="1:4" customHeight="1" ht="130">
      <c r="A416"/>
      <c r="B416" s="10" t="str">
        <f>"22328"</f>
        <v>22328</v>
      </c>
      <c r="C416" s="11" t="s">
        <v>414</v>
      </c>
      <c r="D416" s="12">
        <v>273.0</v>
      </c>
    </row>
    <row r="417" spans="1:4" customHeight="1" ht="130">
      <c r="A417"/>
      <c r="B417" s="10" t="str">
        <f>"22329"</f>
        <v>22329</v>
      </c>
      <c r="C417" s="11" t="s">
        <v>415</v>
      </c>
      <c r="D417" s="12">
        <v>192.0</v>
      </c>
    </row>
    <row r="418" spans="1:4" customHeight="1" ht="130">
      <c r="A418"/>
      <c r="B418" s="10" t="str">
        <f>"22339"</f>
        <v>22339</v>
      </c>
      <c r="C418" s="11" t="s">
        <v>416</v>
      </c>
      <c r="D418" s="12">
        <v>1062.0</v>
      </c>
    </row>
    <row r="419" spans="1:4" customHeight="1" ht="130">
      <c r="A419"/>
      <c r="B419" s="10" t="str">
        <f>"22340"</f>
        <v>22340</v>
      </c>
      <c r="C419" s="11" t="s">
        <v>417</v>
      </c>
      <c r="D419" s="12">
        <v>108.0</v>
      </c>
    </row>
    <row r="420" spans="1:4" customHeight="1" ht="130">
      <c r="A420"/>
      <c r="B420" s="10" t="str">
        <f>"22341"</f>
        <v>22341</v>
      </c>
      <c r="C420" s="11" t="s">
        <v>418</v>
      </c>
      <c r="D420" s="12">
        <v>630.0</v>
      </c>
    </row>
    <row r="421" spans="1:4" customHeight="1" ht="130">
      <c r="A421"/>
      <c r="B421" s="10" t="str">
        <f>"22343"</f>
        <v>22343</v>
      </c>
      <c r="C421" s="11" t="s">
        <v>419</v>
      </c>
      <c r="D421" s="12">
        <v>4734.0</v>
      </c>
    </row>
    <row r="422" spans="1:4" customHeight="1" ht="130">
      <c r="A422"/>
      <c r="B422" s="10" t="str">
        <f>"22345"</f>
        <v>22345</v>
      </c>
      <c r="C422" s="11" t="s">
        <v>420</v>
      </c>
      <c r="D422" s="12">
        <v>2844.0</v>
      </c>
    </row>
    <row r="423" spans="1:4" customHeight="1" ht="130">
      <c r="A423"/>
      <c r="B423" s="10" t="str">
        <f>"22460"</f>
        <v>22460</v>
      </c>
      <c r="C423" s="11" t="s">
        <v>421</v>
      </c>
      <c r="D423" s="12">
        <v>5454.0</v>
      </c>
    </row>
    <row r="424" spans="1:4" customHeight="1" ht="130">
      <c r="A424"/>
      <c r="B424" s="10" t="str">
        <f>"22461"</f>
        <v>22461</v>
      </c>
      <c r="C424" s="11" t="s">
        <v>422</v>
      </c>
      <c r="D424" s="12">
        <v>4788.0</v>
      </c>
    </row>
    <row r="425" spans="1:4" customHeight="1" ht="130">
      <c r="A425"/>
      <c r="B425" s="10" t="str">
        <f>"22475"</f>
        <v>22475</v>
      </c>
      <c r="C425" s="11" t="s">
        <v>423</v>
      </c>
      <c r="D425" s="12">
        <v>210.0</v>
      </c>
    </row>
    <row r="426" spans="1:4" customHeight="1" ht="130">
      <c r="A426"/>
      <c r="B426" s="10" t="str">
        <f>"22488"</f>
        <v>22488</v>
      </c>
      <c r="C426" s="11" t="s">
        <v>424</v>
      </c>
      <c r="D426" s="12">
        <v>2405.0</v>
      </c>
    </row>
    <row r="427" spans="1:4" customHeight="1" ht="130">
      <c r="A427"/>
      <c r="B427" s="10" t="str">
        <f>"22541"</f>
        <v>22541</v>
      </c>
      <c r="C427" s="11" t="s">
        <v>425</v>
      </c>
      <c r="D427" s="12">
        <v>3480.0</v>
      </c>
    </row>
    <row r="428" spans="1:4" customHeight="1" ht="130">
      <c r="A428"/>
      <c r="B428" s="10" t="str">
        <f>"22695"</f>
        <v>22695</v>
      </c>
      <c r="C428" s="11" t="s">
        <v>426</v>
      </c>
      <c r="D428" s="12">
        <v>666.0</v>
      </c>
    </row>
    <row r="429" spans="1:4" customHeight="1" ht="130">
      <c r="A429"/>
      <c r="B429" s="10" t="str">
        <f>"22696"</f>
        <v>22696</v>
      </c>
      <c r="C429" s="11" t="s">
        <v>427</v>
      </c>
      <c r="D429" s="12">
        <v>180.0</v>
      </c>
    </row>
    <row r="430" spans="1:4" customHeight="1" ht="130">
      <c r="A430"/>
      <c r="B430" s="10" t="str">
        <f>"22768"</f>
        <v>22768</v>
      </c>
      <c r="C430" s="11" t="s">
        <v>428</v>
      </c>
      <c r="D430" s="12">
        <v>2970.0</v>
      </c>
    </row>
    <row r="431" spans="1:4" customHeight="1" ht="130">
      <c r="A431"/>
      <c r="B431" s="10" t="str">
        <f>"22769"</f>
        <v>22769</v>
      </c>
      <c r="C431" s="11" t="s">
        <v>429</v>
      </c>
      <c r="D431" s="12">
        <v>3920.0</v>
      </c>
    </row>
    <row r="432" spans="1:4" customHeight="1" ht="130">
      <c r="A432"/>
      <c r="B432" s="10" t="str">
        <f>"22837"</f>
        <v>22837</v>
      </c>
      <c r="C432" s="11" t="s">
        <v>430</v>
      </c>
      <c r="D432" s="12">
        <v>360.0</v>
      </c>
    </row>
    <row r="433" spans="1:4" customHeight="1" ht="130">
      <c r="A433"/>
      <c r="B433" s="10" t="str">
        <f>"22933"</f>
        <v>22933</v>
      </c>
      <c r="C433" s="11" t="s">
        <v>431</v>
      </c>
      <c r="D433" s="12">
        <v>3570.0</v>
      </c>
    </row>
    <row r="434" spans="1:4" customHeight="1" ht="130">
      <c r="A434"/>
      <c r="B434" s="10" t="str">
        <f>"23031"</f>
        <v>23031</v>
      </c>
      <c r="C434" s="11" t="s">
        <v>432</v>
      </c>
      <c r="D434" s="12">
        <v>1090.0</v>
      </c>
    </row>
    <row r="435" spans="1:4" customHeight="1" ht="130">
      <c r="A435"/>
      <c r="B435" s="10" t="str">
        <f>"23032"</f>
        <v>23032</v>
      </c>
      <c r="C435" s="11" t="s">
        <v>433</v>
      </c>
      <c r="D435" s="12">
        <v>212.0</v>
      </c>
    </row>
    <row r="436" spans="1:4" customHeight="1" ht="130">
      <c r="A436"/>
      <c r="B436" s="10" t="str">
        <f>"23544"</f>
        <v>23544</v>
      </c>
      <c r="C436" s="11" t="s">
        <v>434</v>
      </c>
      <c r="D436" s="12">
        <v>750.0</v>
      </c>
    </row>
    <row r="437" spans="1:4" customHeight="1" ht="130">
      <c r="A437"/>
      <c r="B437" s="10" t="str">
        <f>"23668"</f>
        <v>23668</v>
      </c>
      <c r="C437" s="11" t="s">
        <v>435</v>
      </c>
      <c r="D437" s="12">
        <v>972.0</v>
      </c>
    </row>
    <row r="438" spans="1:4" customHeight="1" ht="130">
      <c r="A438"/>
      <c r="B438" s="10" t="str">
        <f>"23669"</f>
        <v>23669</v>
      </c>
      <c r="C438" s="11" t="s">
        <v>436</v>
      </c>
      <c r="D438" s="12">
        <v>1170.0</v>
      </c>
    </row>
    <row r="439" spans="1:4" customHeight="1" ht="130">
      <c r="A439"/>
      <c r="B439" s="10" t="str">
        <f>"23773"</f>
        <v>23773</v>
      </c>
      <c r="C439" s="11" t="s">
        <v>437</v>
      </c>
      <c r="D439" s="12">
        <v>144.0</v>
      </c>
    </row>
    <row r="440" spans="1:4" customHeight="1" ht="130">
      <c r="A440"/>
      <c r="B440" s="10" t="str">
        <f>"23774"</f>
        <v>23774</v>
      </c>
      <c r="C440" s="11" t="s">
        <v>438</v>
      </c>
      <c r="D440" s="12">
        <v>4060.0</v>
      </c>
    </row>
    <row r="441" spans="1:4" customHeight="1" ht="130">
      <c r="A441"/>
      <c r="B441" s="10" t="str">
        <f>"23910"</f>
        <v>23910</v>
      </c>
      <c r="C441" s="11" t="s">
        <v>439</v>
      </c>
      <c r="D441" s="12">
        <v>3290.0</v>
      </c>
    </row>
    <row r="442" spans="1:4" customHeight="1" ht="130">
      <c r="A442"/>
      <c r="B442" s="10" t="str">
        <f>"23911"</f>
        <v>23911</v>
      </c>
      <c r="C442" s="11" t="s">
        <v>440</v>
      </c>
      <c r="D442" s="12">
        <v>6160.0</v>
      </c>
    </row>
    <row r="443" spans="1:4" customHeight="1" ht="130">
      <c r="A443"/>
      <c r="B443" s="10" t="str">
        <f>"23912"</f>
        <v>23912</v>
      </c>
      <c r="C443" s="11" t="s">
        <v>441</v>
      </c>
      <c r="D443" s="12">
        <v>9700.0</v>
      </c>
    </row>
    <row r="444" spans="1:4" customHeight="1" ht="130">
      <c r="A444"/>
      <c r="B444" s="10" t="str">
        <f>"23913"</f>
        <v>23913</v>
      </c>
      <c r="C444" s="11" t="s">
        <v>442</v>
      </c>
      <c r="D444" s="12">
        <v>10010.0</v>
      </c>
    </row>
    <row r="445" spans="1:4" customHeight="1" ht="130">
      <c r="A445"/>
      <c r="B445" s="10" t="str">
        <f>"23934"</f>
        <v>23934</v>
      </c>
      <c r="C445" s="11" t="s">
        <v>443</v>
      </c>
      <c r="D445" s="12">
        <v>6500.0</v>
      </c>
    </row>
    <row r="446" spans="1:4" customHeight="1" ht="130">
      <c r="A446"/>
      <c r="B446" s="10" t="str">
        <f>"24077"</f>
        <v>24077</v>
      </c>
      <c r="C446" s="11" t="s">
        <v>444</v>
      </c>
      <c r="D446" s="12">
        <v>3510.0</v>
      </c>
    </row>
    <row r="447" spans="1:4" customHeight="1" ht="130">
      <c r="A447"/>
      <c r="B447" s="10" t="str">
        <f>"24279"</f>
        <v>24279</v>
      </c>
      <c r="C447" s="11" t="s">
        <v>445</v>
      </c>
      <c r="D447" s="12">
        <v>720.0</v>
      </c>
    </row>
    <row r="448" spans="1:4" customHeight="1" ht="130">
      <c r="A448"/>
      <c r="B448" s="10" t="str">
        <f>"24431"</f>
        <v>24431</v>
      </c>
      <c r="C448" s="11" t="s">
        <v>446</v>
      </c>
      <c r="D448" s="12">
        <v>7614.0</v>
      </c>
    </row>
    <row r="449" spans="1:4" customHeight="1" ht="130">
      <c r="A449"/>
      <c r="B449" s="10" t="str">
        <f>"24563"</f>
        <v>24563</v>
      </c>
      <c r="C449" s="11" t="s">
        <v>447</v>
      </c>
      <c r="D449" s="12">
        <v>130.0</v>
      </c>
    </row>
    <row r="450" spans="1:4" customHeight="1" ht="130">
      <c r="A450"/>
      <c r="B450" s="10" t="str">
        <f>"24785"</f>
        <v>24785</v>
      </c>
      <c r="C450" s="11" t="s">
        <v>448</v>
      </c>
      <c r="D450" s="12">
        <v>72.0</v>
      </c>
    </row>
    <row r="451" spans="1:4" customHeight="1" ht="130">
      <c r="A451"/>
      <c r="B451" s="10" t="str">
        <f>"24813"</f>
        <v>24813</v>
      </c>
      <c r="C451" s="11" t="s">
        <v>449</v>
      </c>
      <c r="D451" s="12">
        <v>180.0</v>
      </c>
    </row>
    <row r="452" spans="1:4" customHeight="1" ht="130">
      <c r="A452"/>
      <c r="B452" s="10" t="str">
        <f>"24832"</f>
        <v>24832</v>
      </c>
      <c r="C452" s="11" t="s">
        <v>450</v>
      </c>
      <c r="D452" s="12">
        <v>850.0</v>
      </c>
    </row>
    <row r="453" spans="1:4" customHeight="1" ht="130">
      <c r="A453"/>
      <c r="B453" s="10" t="str">
        <f>"24847"</f>
        <v>24847</v>
      </c>
      <c r="C453" s="11" t="s">
        <v>451</v>
      </c>
      <c r="D453" s="12">
        <v>144.0</v>
      </c>
    </row>
    <row r="454" spans="1:4" customHeight="1" ht="130">
      <c r="A454"/>
      <c r="B454" s="10" t="str">
        <f>"24860"</f>
        <v>24860</v>
      </c>
      <c r="C454" s="11" t="s">
        <v>452</v>
      </c>
      <c r="D454" s="12">
        <v>390.0</v>
      </c>
    </row>
    <row r="455" spans="1:4" customHeight="1" ht="130">
      <c r="A455"/>
      <c r="B455" s="10" t="str">
        <f>"24923"</f>
        <v>24923</v>
      </c>
      <c r="C455" s="11" t="s">
        <v>453</v>
      </c>
      <c r="D455" s="12">
        <v>1800.0</v>
      </c>
    </row>
    <row r="456" spans="1:4" customHeight="1" ht="130">
      <c r="A456"/>
      <c r="B456" s="10" t="str">
        <f>"24924"</f>
        <v>24924</v>
      </c>
      <c r="C456" s="11" t="s">
        <v>454</v>
      </c>
      <c r="D456" s="12">
        <v>1300.0</v>
      </c>
    </row>
    <row r="457" spans="1:4" customHeight="1" ht="130">
      <c r="A457"/>
      <c r="B457" s="10" t="str">
        <f>"24935"</f>
        <v>24935</v>
      </c>
      <c r="C457" s="11" t="s">
        <v>455</v>
      </c>
      <c r="D457" s="12">
        <v>7236.0</v>
      </c>
    </row>
    <row r="458" spans="1:4" customHeight="1" ht="130">
      <c r="A458"/>
      <c r="B458" s="10" t="str">
        <f>"24973"</f>
        <v>24973</v>
      </c>
      <c r="C458" s="11" t="s">
        <v>456</v>
      </c>
      <c r="D458" s="12">
        <v>9036.0</v>
      </c>
    </row>
    <row r="459" spans="1:4" customHeight="1" ht="130">
      <c r="A459"/>
      <c r="B459" s="10" t="str">
        <f>"24994"</f>
        <v>24994</v>
      </c>
      <c r="C459" s="11" t="s">
        <v>457</v>
      </c>
      <c r="D459" s="12">
        <v>380.0</v>
      </c>
    </row>
    <row r="460" spans="1:4" customHeight="1" ht="130">
      <c r="A460"/>
      <c r="B460" s="10" t="str">
        <f>"25037"</f>
        <v>25037</v>
      </c>
      <c r="C460" s="11" t="s">
        <v>458</v>
      </c>
      <c r="D460" s="12">
        <v>72.0</v>
      </c>
    </row>
    <row r="461" spans="1:4" customHeight="1" ht="130">
      <c r="A461"/>
      <c r="B461" s="10" t="str">
        <f>"25038"</f>
        <v>25038</v>
      </c>
      <c r="C461" s="11" t="s">
        <v>459</v>
      </c>
      <c r="D461" s="12">
        <v>2556.0</v>
      </c>
    </row>
    <row r="462" spans="1:4" customHeight="1" ht="130">
      <c r="A462"/>
      <c r="B462" s="10" t="str">
        <f>"25039"</f>
        <v>25039</v>
      </c>
      <c r="C462" s="11" t="s">
        <v>460</v>
      </c>
      <c r="D462" s="12">
        <v>5004.0</v>
      </c>
    </row>
    <row r="463" spans="1:4" customHeight="1" ht="130">
      <c r="A463"/>
      <c r="B463" s="10" t="str">
        <f>"25040"</f>
        <v>25040</v>
      </c>
      <c r="C463" s="11" t="s">
        <v>461</v>
      </c>
      <c r="D463" s="12">
        <v>522.0</v>
      </c>
    </row>
    <row r="464" spans="1:4" customHeight="1" ht="130">
      <c r="A464"/>
      <c r="B464" s="10" t="str">
        <f>"25068"</f>
        <v>25068</v>
      </c>
      <c r="C464" s="11" t="s">
        <v>462</v>
      </c>
      <c r="D464" s="12">
        <v>525.0</v>
      </c>
    </row>
    <row r="465" spans="1:4" customHeight="1" ht="130">
      <c r="A465"/>
      <c r="B465" s="10" t="str">
        <f>"25391"</f>
        <v>25391</v>
      </c>
      <c r="C465" s="11" t="s">
        <v>463</v>
      </c>
      <c r="D465" s="12">
        <v>2740.0</v>
      </c>
    </row>
    <row r="466" spans="1:4" customHeight="1" ht="130">
      <c r="A466"/>
      <c r="B466" s="10" t="str">
        <f>"25392"</f>
        <v>25392</v>
      </c>
      <c r="C466" s="11" t="s">
        <v>464</v>
      </c>
      <c r="D466" s="12">
        <v>868.0</v>
      </c>
    </row>
    <row r="467" spans="1:4" customHeight="1" ht="130">
      <c r="A467"/>
      <c r="B467" s="10" t="str">
        <f>"25393"</f>
        <v>25393</v>
      </c>
      <c r="C467" s="11" t="s">
        <v>465</v>
      </c>
      <c r="D467" s="12">
        <v>6770.0</v>
      </c>
    </row>
    <row r="468" spans="1:4" customHeight="1" ht="130">
      <c r="A468"/>
      <c r="B468" s="10" t="str">
        <f>"25395"</f>
        <v>25395</v>
      </c>
      <c r="C468" s="11" t="s">
        <v>466</v>
      </c>
      <c r="D468" s="12">
        <v>13250.0</v>
      </c>
    </row>
    <row r="469" spans="1:4" customHeight="1" ht="130">
      <c r="A469"/>
      <c r="B469" s="10" t="str">
        <f>"25400"</f>
        <v>25400</v>
      </c>
      <c r="C469" s="11" t="s">
        <v>467</v>
      </c>
      <c r="D469" s="12">
        <v>1700.0</v>
      </c>
    </row>
    <row r="470" spans="1:4" customHeight="1" ht="130">
      <c r="A470"/>
      <c r="B470" s="10" t="str">
        <f>"25402"</f>
        <v>25402</v>
      </c>
      <c r="C470" s="11" t="s">
        <v>468</v>
      </c>
      <c r="D470" s="12">
        <v>3150.0</v>
      </c>
    </row>
    <row r="471" spans="1:4" customHeight="1" ht="130">
      <c r="A471"/>
      <c r="B471" s="10" t="str">
        <f>"25403"</f>
        <v>25403</v>
      </c>
      <c r="C471" s="11" t="s">
        <v>469</v>
      </c>
      <c r="D471" s="12">
        <v>26100.0</v>
      </c>
    </row>
    <row r="472" spans="1:4" customHeight="1" ht="130">
      <c r="A472"/>
      <c r="B472" s="10" t="str">
        <f>"25404"</f>
        <v>25404</v>
      </c>
      <c r="C472" s="11" t="s">
        <v>470</v>
      </c>
      <c r="D472" s="12">
        <v>19509.0</v>
      </c>
    </row>
    <row r="473" spans="1:4" customHeight="1" ht="130">
      <c r="A473"/>
      <c r="B473" s="10" t="str">
        <f>"25405"</f>
        <v>25405</v>
      </c>
      <c r="C473" s="11" t="s">
        <v>471</v>
      </c>
      <c r="D473" s="12">
        <v>11397.0</v>
      </c>
    </row>
    <row r="474" spans="1:4" customHeight="1" ht="130">
      <c r="A474"/>
      <c r="B474" s="10" t="str">
        <f>"25406"</f>
        <v>25406</v>
      </c>
      <c r="C474" s="11" t="s">
        <v>472</v>
      </c>
      <c r="D474" s="12">
        <v>15760.0</v>
      </c>
    </row>
    <row r="475" spans="1:4" customHeight="1" ht="130">
      <c r="A475"/>
      <c r="B475" s="10" t="str">
        <f>"25615"</f>
        <v>25615</v>
      </c>
      <c r="C475" s="11" t="s">
        <v>473</v>
      </c>
      <c r="D475" s="12">
        <v>306.0</v>
      </c>
    </row>
    <row r="476" spans="1:4" customHeight="1" ht="130">
      <c r="A476"/>
      <c r="B476" s="10" t="str">
        <f>"25695"</f>
        <v>25695</v>
      </c>
      <c r="C476" s="11" t="s">
        <v>474</v>
      </c>
      <c r="D476" s="12">
        <v>230.0</v>
      </c>
    </row>
    <row r="477" spans="1:4" customHeight="1" ht="130">
      <c r="A477"/>
      <c r="B477" s="10" t="str">
        <f>"25706"</f>
        <v>25706</v>
      </c>
      <c r="C477" s="11" t="s">
        <v>475</v>
      </c>
      <c r="D477" s="12">
        <v>325.0</v>
      </c>
    </row>
    <row r="478" spans="1:4" customHeight="1" ht="130">
      <c r="A478"/>
      <c r="B478" s="10" t="str">
        <f>"25721"</f>
        <v>25721</v>
      </c>
      <c r="C478" s="11" t="s">
        <v>476</v>
      </c>
      <c r="D478" s="12">
        <v>264.0</v>
      </c>
    </row>
    <row r="479" spans="1:4" customHeight="1" ht="130">
      <c r="A479"/>
      <c r="B479" s="10" t="str">
        <f>"25769"</f>
        <v>25769</v>
      </c>
      <c r="C479" s="11" t="s">
        <v>477</v>
      </c>
      <c r="D479" s="12">
        <v>8770.0</v>
      </c>
    </row>
    <row r="480" spans="1:4" customHeight="1" ht="130">
      <c r="A480"/>
      <c r="B480" s="10" t="str">
        <f>"25791"</f>
        <v>25791</v>
      </c>
      <c r="C480" s="11" t="s">
        <v>478</v>
      </c>
      <c r="D480" s="12">
        <v>8150.0</v>
      </c>
    </row>
    <row r="481" spans="1:4" customHeight="1" ht="130">
      <c r="A481"/>
      <c r="B481" s="10" t="str">
        <f>"25827"</f>
        <v>25827</v>
      </c>
      <c r="C481" s="11" t="s">
        <v>479</v>
      </c>
      <c r="D481" s="12">
        <v>756.0</v>
      </c>
    </row>
    <row r="482" spans="1:4" customHeight="1" ht="130">
      <c r="A482"/>
      <c r="B482" s="10" t="str">
        <f>"25828"</f>
        <v>25828</v>
      </c>
      <c r="C482" s="11" t="s">
        <v>480</v>
      </c>
      <c r="D482" s="12">
        <v>9612.0</v>
      </c>
    </row>
    <row r="483" spans="1:4" customHeight="1" ht="130">
      <c r="A483"/>
      <c r="B483" s="10" t="str">
        <f>"25829"</f>
        <v>25829</v>
      </c>
      <c r="C483" s="11" t="s">
        <v>481</v>
      </c>
      <c r="D483" s="12">
        <v>2268.0</v>
      </c>
    </row>
    <row r="484" spans="1:4" customHeight="1" ht="130">
      <c r="A484"/>
      <c r="B484" s="10" t="str">
        <f>"25830"</f>
        <v>25830</v>
      </c>
      <c r="C484" s="11" t="s">
        <v>482</v>
      </c>
      <c r="D484" s="12">
        <v>2700.0</v>
      </c>
    </row>
    <row r="485" spans="1:4" customHeight="1" ht="130">
      <c r="A485"/>
      <c r="B485" s="10" t="str">
        <f>"25831"</f>
        <v>25831</v>
      </c>
      <c r="C485" s="11" t="s">
        <v>483</v>
      </c>
      <c r="D485" s="12">
        <v>5526.0</v>
      </c>
    </row>
    <row r="486" spans="1:4" customHeight="1" ht="130">
      <c r="A486"/>
      <c r="B486" s="10" t="str">
        <f>"25912"</f>
        <v>25912</v>
      </c>
      <c r="C486" s="11" t="s">
        <v>484</v>
      </c>
      <c r="D486" s="12">
        <v>1430.0</v>
      </c>
    </row>
    <row r="487" spans="1:4" customHeight="1" ht="130">
      <c r="A487"/>
      <c r="B487" s="10" t="str">
        <f>"26021"</f>
        <v>26021</v>
      </c>
      <c r="C487" s="11" t="s">
        <v>485</v>
      </c>
      <c r="D487" s="12">
        <v>5724.0</v>
      </c>
    </row>
    <row r="488" spans="1:4" customHeight="1" ht="130">
      <c r="A488"/>
      <c r="B488" s="10" t="str">
        <f>"26023"</f>
        <v>26023</v>
      </c>
      <c r="C488" s="11" t="s">
        <v>486</v>
      </c>
      <c r="D488" s="12">
        <v>13266.0</v>
      </c>
    </row>
    <row r="489" spans="1:4" customHeight="1" ht="130">
      <c r="A489"/>
      <c r="B489" s="10" t="str">
        <f>"26024"</f>
        <v>26024</v>
      </c>
      <c r="C489" s="11" t="s">
        <v>487</v>
      </c>
      <c r="D489" s="12">
        <v>11214.0</v>
      </c>
    </row>
    <row r="490" spans="1:4" customHeight="1" ht="130">
      <c r="A490"/>
      <c r="B490" s="10" t="str">
        <f>"26025"</f>
        <v>26025</v>
      </c>
      <c r="C490" s="11" t="s">
        <v>488</v>
      </c>
      <c r="D490" s="12">
        <v>13518.0</v>
      </c>
    </row>
    <row r="491" spans="1:4" customHeight="1" ht="130">
      <c r="A491"/>
      <c r="B491" s="10" t="str">
        <f>"26026"</f>
        <v>26026</v>
      </c>
      <c r="C491" s="11" t="s">
        <v>489</v>
      </c>
      <c r="D491" s="12">
        <v>234.0</v>
      </c>
    </row>
    <row r="492" spans="1:4" customHeight="1" ht="130">
      <c r="A492"/>
      <c r="B492" s="10" t="str">
        <f>"26028"</f>
        <v>26028</v>
      </c>
      <c r="C492" s="11" t="s">
        <v>490</v>
      </c>
      <c r="D492" s="12">
        <v>198.0</v>
      </c>
    </row>
    <row r="493" spans="1:4" customHeight="1" ht="130">
      <c r="A493"/>
      <c r="B493" s="10" t="str">
        <f>"26029"</f>
        <v>26029</v>
      </c>
      <c r="C493" s="11" t="s">
        <v>491</v>
      </c>
      <c r="D493" s="12">
        <v>738.0</v>
      </c>
    </row>
    <row r="494" spans="1:4" customHeight="1" ht="130">
      <c r="A494"/>
      <c r="B494" s="10" t="str">
        <f>"26033"</f>
        <v>26033</v>
      </c>
      <c r="C494" s="11" t="s">
        <v>492</v>
      </c>
      <c r="D494" s="12">
        <v>6714.0</v>
      </c>
    </row>
    <row r="495" spans="1:4" customHeight="1" ht="130">
      <c r="A495"/>
      <c r="B495" s="10" t="str">
        <f>"26034"</f>
        <v>26034</v>
      </c>
      <c r="C495" s="11" t="s">
        <v>493</v>
      </c>
      <c r="D495" s="12">
        <v>7956.0</v>
      </c>
    </row>
    <row r="496" spans="1:4" customHeight="1" ht="130">
      <c r="A496"/>
      <c r="B496" s="10" t="str">
        <f>"26036"</f>
        <v>26036</v>
      </c>
      <c r="C496" s="11" t="s">
        <v>494</v>
      </c>
      <c r="D496" s="12">
        <v>792.0</v>
      </c>
    </row>
    <row r="497" spans="1:4" customHeight="1" ht="130">
      <c r="A497"/>
      <c r="B497" s="10" t="str">
        <f>"26037"</f>
        <v>26037</v>
      </c>
      <c r="C497" s="11" t="s">
        <v>495</v>
      </c>
      <c r="D497" s="12">
        <v>72.0</v>
      </c>
    </row>
    <row r="498" spans="1:4" customHeight="1" ht="130">
      <c r="A498"/>
      <c r="B498" s="10" t="str">
        <f>"26038"</f>
        <v>26038</v>
      </c>
      <c r="C498" s="11" t="s">
        <v>496</v>
      </c>
      <c r="D498" s="12">
        <v>72.0</v>
      </c>
    </row>
    <row r="499" spans="1:4" customHeight="1" ht="130">
      <c r="A499"/>
      <c r="B499" s="10" t="str">
        <f>"26039"</f>
        <v>26039</v>
      </c>
      <c r="C499" s="11" t="s">
        <v>497</v>
      </c>
      <c r="D499" s="12">
        <v>288.0</v>
      </c>
    </row>
    <row r="500" spans="1:4" customHeight="1" ht="130">
      <c r="A500"/>
      <c r="B500" s="10" t="str">
        <f>"26314"</f>
        <v>26314</v>
      </c>
      <c r="C500" s="11" t="s">
        <v>498</v>
      </c>
      <c r="D500" s="12">
        <v>12582.0</v>
      </c>
    </row>
    <row r="501" spans="1:4" customHeight="1" ht="130">
      <c r="A501"/>
      <c r="B501" s="10" t="str">
        <f>"26315"</f>
        <v>26315</v>
      </c>
      <c r="C501" s="11" t="s">
        <v>499</v>
      </c>
      <c r="D501" s="12">
        <v>1188.0</v>
      </c>
    </row>
    <row r="502" spans="1:4" customHeight="1" ht="130">
      <c r="A502"/>
      <c r="B502" s="10" t="str">
        <f>"26335"</f>
        <v>26335</v>
      </c>
      <c r="C502" s="11" t="s">
        <v>500</v>
      </c>
      <c r="D502" s="12">
        <v>16382.0</v>
      </c>
    </row>
    <row r="503" spans="1:4" customHeight="1" ht="130">
      <c r="A503"/>
      <c r="B503" s="10" t="str">
        <f>"26336"</f>
        <v>26336</v>
      </c>
      <c r="C503" s="11" t="s">
        <v>501</v>
      </c>
      <c r="D503" s="12">
        <v>16208.0</v>
      </c>
    </row>
    <row r="504" spans="1:4" customHeight="1" ht="130">
      <c r="A504"/>
      <c r="B504" s="10" t="str">
        <f>"26375"</f>
        <v>26375</v>
      </c>
      <c r="C504" s="11" t="s">
        <v>502</v>
      </c>
      <c r="D504" s="12">
        <v>6854.0</v>
      </c>
    </row>
    <row r="505" spans="1:4" customHeight="1" ht="130">
      <c r="A505"/>
      <c r="B505" s="10" t="str">
        <f>"26376"</f>
        <v>26376</v>
      </c>
      <c r="C505" s="11" t="s">
        <v>503</v>
      </c>
      <c r="D505" s="12">
        <v>1129.0</v>
      </c>
    </row>
    <row r="506" spans="1:4" customHeight="1" ht="130">
      <c r="A506"/>
      <c r="B506" s="10" t="str">
        <f>"26377"</f>
        <v>26377</v>
      </c>
      <c r="C506" s="11" t="s">
        <v>504</v>
      </c>
      <c r="D506" s="12">
        <v>537.0</v>
      </c>
    </row>
    <row r="507" spans="1:4" customHeight="1" ht="130">
      <c r="A507"/>
      <c r="B507" s="10" t="str">
        <f>"26378"</f>
        <v>26378</v>
      </c>
      <c r="C507" s="11" t="s">
        <v>505</v>
      </c>
      <c r="D507" s="12">
        <v>1059.0</v>
      </c>
    </row>
    <row r="508" spans="1:4" customHeight="1" ht="130">
      <c r="A508"/>
      <c r="B508" s="10" t="str">
        <f>"26379"</f>
        <v>26379</v>
      </c>
      <c r="C508" s="11" t="s">
        <v>506</v>
      </c>
      <c r="D508" s="12">
        <v>4371.0</v>
      </c>
    </row>
    <row r="509" spans="1:4" customHeight="1" ht="130">
      <c r="A509"/>
      <c r="B509" s="10" t="str">
        <f>"26380"</f>
        <v>26380</v>
      </c>
      <c r="C509" s="11" t="s">
        <v>507</v>
      </c>
      <c r="D509" s="12">
        <v>776.0</v>
      </c>
    </row>
    <row r="510" spans="1:4" customHeight="1" ht="130">
      <c r="A510"/>
      <c r="B510" s="10" t="str">
        <f>"26382"</f>
        <v>26382</v>
      </c>
      <c r="C510" s="11" t="s">
        <v>508</v>
      </c>
      <c r="D510" s="12">
        <v>11699.0</v>
      </c>
    </row>
    <row r="511" spans="1:4" customHeight="1" ht="130">
      <c r="A511"/>
      <c r="B511" s="10" t="str">
        <f>"26385"</f>
        <v>26385</v>
      </c>
      <c r="C511" s="11" t="s">
        <v>509</v>
      </c>
      <c r="D511" s="12">
        <v>2748.0</v>
      </c>
    </row>
    <row r="512" spans="1:4" customHeight="1" ht="130">
      <c r="A512"/>
      <c r="B512" s="10" t="str">
        <f>"26386"</f>
        <v>26386</v>
      </c>
      <c r="C512" s="11" t="s">
        <v>510</v>
      </c>
      <c r="D512" s="12">
        <v>2439.0</v>
      </c>
    </row>
    <row r="513" spans="1:4" customHeight="1" ht="130">
      <c r="A513"/>
      <c r="B513" s="10" t="str">
        <f>"26387"</f>
        <v>26387</v>
      </c>
      <c r="C513" s="11" t="s">
        <v>511</v>
      </c>
      <c r="D513" s="12">
        <v>1692.0</v>
      </c>
    </row>
    <row r="514" spans="1:4" customHeight="1" ht="130">
      <c r="A514"/>
      <c r="B514" s="10" t="str">
        <f>"26411"</f>
        <v>26411</v>
      </c>
      <c r="C514" s="11" t="s">
        <v>512</v>
      </c>
      <c r="D514" s="12">
        <v>1993.0</v>
      </c>
    </row>
    <row r="515" spans="1:4" customHeight="1" ht="130">
      <c r="A515"/>
      <c r="B515" s="10" t="str">
        <f>"26412"</f>
        <v>26412</v>
      </c>
      <c r="C515" s="11" t="s">
        <v>513</v>
      </c>
      <c r="D515" s="12">
        <v>805.0</v>
      </c>
    </row>
    <row r="516" spans="1:4" customHeight="1" ht="130">
      <c r="A516"/>
      <c r="B516" s="10" t="str">
        <f>"26414"</f>
        <v>26414</v>
      </c>
      <c r="C516" s="11" t="s">
        <v>514</v>
      </c>
      <c r="D516" s="12">
        <v>5225.0</v>
      </c>
    </row>
    <row r="517" spans="1:4" customHeight="1" ht="130">
      <c r="A517"/>
      <c r="B517" s="10" t="str">
        <f>"26416"</f>
        <v>26416</v>
      </c>
      <c r="C517" s="11" t="s">
        <v>515</v>
      </c>
      <c r="D517" s="12">
        <v>6043.0</v>
      </c>
    </row>
    <row r="518" spans="1:4" customHeight="1" ht="130">
      <c r="A518"/>
      <c r="B518" s="10" t="str">
        <f>"26417"</f>
        <v>26417</v>
      </c>
      <c r="C518" s="11" t="s">
        <v>516</v>
      </c>
      <c r="D518" s="12">
        <v>415.0</v>
      </c>
    </row>
    <row r="519" spans="1:4" customHeight="1" ht="130">
      <c r="A519"/>
      <c r="B519" s="10" t="str">
        <f>"26418"</f>
        <v>26418</v>
      </c>
      <c r="C519" s="11" t="s">
        <v>517</v>
      </c>
      <c r="D519" s="12">
        <v>5100.0</v>
      </c>
    </row>
    <row r="520" spans="1:4" customHeight="1" ht="130">
      <c r="A520"/>
      <c r="B520" s="10" t="str">
        <f>"26419"</f>
        <v>26419</v>
      </c>
      <c r="C520" s="11" t="s">
        <v>518</v>
      </c>
      <c r="D520" s="12">
        <v>10009.0</v>
      </c>
    </row>
    <row r="521" spans="1:4" customHeight="1" ht="130">
      <c r="A521"/>
      <c r="B521" s="10" t="str">
        <f>"26574"</f>
        <v>26574</v>
      </c>
      <c r="C521" s="11" t="s">
        <v>519</v>
      </c>
      <c r="D521" s="12">
        <v>276.0</v>
      </c>
    </row>
    <row r="522" spans="1:4" customHeight="1" ht="130">
      <c r="A522"/>
      <c r="B522" s="10" t="str">
        <f>"26706"</f>
        <v>26706</v>
      </c>
      <c r="C522" s="11" t="s">
        <v>520</v>
      </c>
      <c r="D522" s="12">
        <v>7372.0</v>
      </c>
    </row>
    <row r="523" spans="1:4" customHeight="1" ht="130">
      <c r="A523"/>
      <c r="B523" s="10" t="str">
        <f>"26742"</f>
        <v>26742</v>
      </c>
      <c r="C523" s="11" t="s">
        <v>521</v>
      </c>
      <c r="D523" s="12">
        <v>10422.0</v>
      </c>
    </row>
    <row r="524" spans="1:4" customHeight="1" ht="130">
      <c r="A524"/>
      <c r="B524" s="10" t="str">
        <f>"26744"</f>
        <v>26744</v>
      </c>
      <c r="C524" s="11" t="s">
        <v>522</v>
      </c>
      <c r="D524" s="12">
        <v>378.0</v>
      </c>
    </row>
    <row r="525" spans="1:4" customHeight="1" ht="130">
      <c r="A525"/>
      <c r="B525" s="10" t="str">
        <f>"26783"</f>
        <v>26783</v>
      </c>
      <c r="C525" s="11" t="s">
        <v>523</v>
      </c>
      <c r="D525" s="12">
        <v>234.0</v>
      </c>
    </row>
    <row r="526" spans="1:4" customHeight="1" ht="130">
      <c r="A526"/>
      <c r="B526" s="10" t="str">
        <f>"26789"</f>
        <v>26789</v>
      </c>
      <c r="C526" s="11" t="s">
        <v>524</v>
      </c>
      <c r="D526" s="12">
        <v>4800.0</v>
      </c>
    </row>
    <row r="527" spans="1:4" customHeight="1" ht="130">
      <c r="A527"/>
      <c r="B527" s="10" t="str">
        <f>"26804"</f>
        <v>26804</v>
      </c>
      <c r="C527" s="11" t="s">
        <v>525</v>
      </c>
      <c r="D527" s="12">
        <v>6200.0</v>
      </c>
    </row>
    <row r="528" spans="1:4" customHeight="1" ht="130">
      <c r="A528"/>
      <c r="B528" s="10" t="str">
        <f>"26805"</f>
        <v>26805</v>
      </c>
      <c r="C528" s="11" t="s">
        <v>526</v>
      </c>
      <c r="D528" s="12">
        <v>1280.0</v>
      </c>
    </row>
    <row r="529" spans="1:4" customHeight="1" ht="130">
      <c r="A529"/>
      <c r="B529" s="10" t="str">
        <f>"26806"</f>
        <v>26806</v>
      </c>
      <c r="C529" s="11" t="s">
        <v>527</v>
      </c>
      <c r="D529" s="12">
        <v>926.0</v>
      </c>
    </row>
    <row r="530" spans="1:4" customHeight="1" ht="130">
      <c r="A530"/>
      <c r="B530" s="10" t="str">
        <f>"26838"</f>
        <v>26838</v>
      </c>
      <c r="C530" s="11" t="s">
        <v>528</v>
      </c>
      <c r="D530" s="12">
        <v>5000.0</v>
      </c>
    </row>
    <row r="531" spans="1:4" customHeight="1" ht="130">
      <c r="A531"/>
      <c r="B531" s="10" t="str">
        <f>"26840"</f>
        <v>26840</v>
      </c>
      <c r="C531" s="11" t="s">
        <v>529</v>
      </c>
      <c r="D531" s="12">
        <v>3564.0</v>
      </c>
    </row>
    <row r="532" spans="1:4" customHeight="1" ht="130">
      <c r="A532"/>
      <c r="B532" s="10" t="str">
        <f>"26841"</f>
        <v>26841</v>
      </c>
      <c r="C532" s="11" t="s">
        <v>530</v>
      </c>
      <c r="D532" s="12">
        <v>2862.0</v>
      </c>
    </row>
    <row r="533" spans="1:4" customHeight="1" ht="130">
      <c r="A533"/>
      <c r="B533" s="10" t="str">
        <f>"26842"</f>
        <v>26842</v>
      </c>
      <c r="C533" s="11" t="s">
        <v>531</v>
      </c>
      <c r="D533" s="12">
        <v>684.0</v>
      </c>
    </row>
    <row r="534" spans="1:4" customHeight="1" ht="130">
      <c r="A534"/>
      <c r="B534" s="10" t="str">
        <f>"26843"</f>
        <v>26843</v>
      </c>
      <c r="C534" s="11" t="s">
        <v>532</v>
      </c>
      <c r="D534" s="12">
        <v>1980.0</v>
      </c>
    </row>
    <row r="535" spans="1:4" customHeight="1" ht="130">
      <c r="A535"/>
      <c r="B535" s="10" t="str">
        <f>"26844"</f>
        <v>26844</v>
      </c>
      <c r="C535" s="11" t="s">
        <v>533</v>
      </c>
      <c r="D535" s="12">
        <v>10206.0</v>
      </c>
    </row>
    <row r="536" spans="1:4" customHeight="1" ht="130">
      <c r="A536"/>
      <c r="B536" s="10" t="str">
        <f>"26845"</f>
        <v>26845</v>
      </c>
      <c r="C536" s="11" t="s">
        <v>534</v>
      </c>
      <c r="D536" s="12">
        <v>4428.0</v>
      </c>
    </row>
    <row r="537" spans="1:4" customHeight="1" ht="130">
      <c r="A537"/>
      <c r="B537" s="10" t="str">
        <f>"26847"</f>
        <v>26847</v>
      </c>
      <c r="C537" s="11" t="s">
        <v>535</v>
      </c>
      <c r="D537" s="12">
        <v>4536.0</v>
      </c>
    </row>
    <row r="538" spans="1:4" customHeight="1" ht="130">
      <c r="A538"/>
      <c r="B538" s="10" t="str">
        <f>"26848"</f>
        <v>26848</v>
      </c>
      <c r="C538" s="11" t="s">
        <v>536</v>
      </c>
      <c r="D538" s="12">
        <v>2862.0</v>
      </c>
    </row>
    <row r="539" spans="1:4" customHeight="1" ht="130">
      <c r="A539"/>
      <c r="B539" s="10" t="str">
        <f>"26849"</f>
        <v>26849</v>
      </c>
      <c r="C539" s="11" t="s">
        <v>537</v>
      </c>
      <c r="D539" s="12">
        <v>2898.0</v>
      </c>
    </row>
    <row r="540" spans="1:4" customHeight="1" ht="130">
      <c r="A540"/>
      <c r="B540" s="10" t="str">
        <f>"26858"</f>
        <v>26858</v>
      </c>
      <c r="C540" s="11" t="s">
        <v>538</v>
      </c>
      <c r="D540" s="12">
        <v>72.0</v>
      </c>
    </row>
    <row r="541" spans="1:4" customHeight="1" ht="130">
      <c r="A541"/>
      <c r="B541" s="10" t="str">
        <f>"26862"</f>
        <v>26862</v>
      </c>
      <c r="C541" s="11" t="s">
        <v>539</v>
      </c>
      <c r="D541" s="12">
        <v>4482.0</v>
      </c>
    </row>
    <row r="542" spans="1:4" customHeight="1" ht="130">
      <c r="A542"/>
      <c r="B542" s="10" t="str">
        <f>"26872"</f>
        <v>26872</v>
      </c>
      <c r="C542" s="11" t="s">
        <v>540</v>
      </c>
      <c r="D542" s="12">
        <v>419.0</v>
      </c>
    </row>
    <row r="543" spans="1:4" customHeight="1" ht="130">
      <c r="A543"/>
      <c r="B543" s="10" t="str">
        <f>"26874"</f>
        <v>26874</v>
      </c>
      <c r="C543" s="11" t="s">
        <v>541</v>
      </c>
      <c r="D543" s="12">
        <v>1500.0</v>
      </c>
    </row>
    <row r="544" spans="1:4" customHeight="1" ht="130">
      <c r="A544"/>
      <c r="B544" s="10" t="str">
        <f>"26899"</f>
        <v>26899</v>
      </c>
      <c r="C544" s="11" t="s">
        <v>542</v>
      </c>
      <c r="D544" s="12">
        <v>5814.0</v>
      </c>
    </row>
    <row r="545" spans="1:4" customHeight="1" ht="130">
      <c r="A545"/>
      <c r="B545" s="10" t="str">
        <f>"26973"</f>
        <v>26973</v>
      </c>
      <c r="C545" s="11" t="s">
        <v>543</v>
      </c>
      <c r="D545" s="12">
        <v>792.0</v>
      </c>
    </row>
    <row r="546" spans="1:4" customHeight="1" ht="130">
      <c r="A546"/>
      <c r="B546" s="10" t="str">
        <f>"27212"</f>
        <v>27212</v>
      </c>
      <c r="C546" s="11" t="s">
        <v>544</v>
      </c>
      <c r="D546" s="12">
        <v>1200.0</v>
      </c>
    </row>
    <row r="547" spans="1:4" customHeight="1" ht="130">
      <c r="A547"/>
      <c r="B547" s="10" t="str">
        <f>"27216"</f>
        <v>27216</v>
      </c>
      <c r="C547" s="11" t="s">
        <v>545</v>
      </c>
      <c r="D547" s="12">
        <v>494.0</v>
      </c>
    </row>
    <row r="548" spans="1:4" customHeight="1" ht="130">
      <c r="A548"/>
      <c r="B548" s="10" t="str">
        <f>"27238"</f>
        <v>27238</v>
      </c>
      <c r="C548" s="11" t="s">
        <v>546</v>
      </c>
      <c r="D548" s="12">
        <v>13154.0</v>
      </c>
    </row>
    <row r="549" spans="1:4" customHeight="1" ht="130">
      <c r="A549"/>
      <c r="B549" s="10" t="str">
        <f>"27403"</f>
        <v>27403</v>
      </c>
      <c r="C549" s="11" t="s">
        <v>547</v>
      </c>
      <c r="D549" s="12">
        <v>10080.0</v>
      </c>
    </row>
    <row r="550" spans="1:4" customHeight="1" ht="130">
      <c r="A550"/>
      <c r="B550" s="10" t="str">
        <f>"27604"</f>
        <v>27604</v>
      </c>
      <c r="C550" s="11" t="s">
        <v>548</v>
      </c>
      <c r="D550" s="12">
        <v>954.0</v>
      </c>
    </row>
    <row r="551" spans="1:4" customHeight="1" ht="130">
      <c r="A551"/>
      <c r="B551" s="10" t="str">
        <f>"27632"</f>
        <v>27632</v>
      </c>
      <c r="C551" s="11" t="s">
        <v>549</v>
      </c>
      <c r="D551" s="12">
        <v>1336.0</v>
      </c>
    </row>
    <row r="552" spans="1:4" customHeight="1" ht="130">
      <c r="A552"/>
      <c r="B552" s="10" t="str">
        <f>"27690"</f>
        <v>27690</v>
      </c>
      <c r="C552" s="11" t="s">
        <v>550</v>
      </c>
      <c r="D552" s="12">
        <v>25092.0</v>
      </c>
    </row>
    <row r="553" spans="1:4" customHeight="1" ht="130">
      <c r="A553"/>
      <c r="B553" s="10" t="str">
        <f>"27739"</f>
        <v>27739</v>
      </c>
      <c r="C553" s="11" t="s">
        <v>551</v>
      </c>
      <c r="D553" s="12">
        <v>970.0</v>
      </c>
    </row>
    <row r="554" spans="1:4" customHeight="1" ht="130">
      <c r="A554"/>
      <c r="B554" s="10" t="str">
        <f>"27752"</f>
        <v>27752</v>
      </c>
      <c r="C554" s="11" t="s">
        <v>552</v>
      </c>
      <c r="D554" s="12">
        <v>1200.0</v>
      </c>
    </row>
    <row r="555" spans="1:4" customHeight="1" ht="130">
      <c r="A555"/>
      <c r="B555" s="10" t="str">
        <f>"27753"</f>
        <v>27753</v>
      </c>
      <c r="C555" s="11" t="s">
        <v>553</v>
      </c>
      <c r="D555" s="12">
        <v>226.0</v>
      </c>
    </row>
    <row r="556" spans="1:4" customHeight="1" ht="130">
      <c r="A556"/>
      <c r="B556" s="10" t="str">
        <f>"27828"</f>
        <v>27828</v>
      </c>
      <c r="C556" s="11" t="s">
        <v>554</v>
      </c>
      <c r="D556" s="12">
        <v>124.0</v>
      </c>
    </row>
    <row r="557" spans="1:4" customHeight="1" ht="130">
      <c r="A557"/>
      <c r="B557" s="10" t="str">
        <f>"27830"</f>
        <v>27830</v>
      </c>
      <c r="C557" s="11" t="s">
        <v>555</v>
      </c>
      <c r="D557" s="12">
        <v>396.0</v>
      </c>
    </row>
    <row r="558" spans="1:4" customHeight="1" ht="130">
      <c r="A558"/>
      <c r="B558" s="10" t="str">
        <f>"27831"</f>
        <v>27831</v>
      </c>
      <c r="C558" s="11" t="s">
        <v>556</v>
      </c>
      <c r="D558" s="12">
        <v>10062.0</v>
      </c>
    </row>
    <row r="559" spans="1:4" customHeight="1" ht="130">
      <c r="A559"/>
      <c r="B559" s="10" t="str">
        <f>"27992"</f>
        <v>27992</v>
      </c>
      <c r="C559" s="11" t="s">
        <v>557</v>
      </c>
      <c r="D559" s="12">
        <v>630.0</v>
      </c>
    </row>
    <row r="560" spans="1:4" customHeight="1" ht="130">
      <c r="A560"/>
      <c r="B560" s="10" t="str">
        <f>"28035"</f>
        <v>28035</v>
      </c>
      <c r="C560" s="11" t="s">
        <v>558</v>
      </c>
      <c r="D560" s="12">
        <v>3261.0</v>
      </c>
    </row>
    <row r="561" spans="1:4" customHeight="1" ht="130">
      <c r="A561"/>
      <c r="B561" s="10" t="str">
        <f>"28036"</f>
        <v>28036</v>
      </c>
      <c r="C561" s="11" t="s">
        <v>559</v>
      </c>
      <c r="D561" s="12">
        <v>3614.0</v>
      </c>
    </row>
    <row r="562" spans="1:4" customHeight="1" ht="130">
      <c r="A562"/>
      <c r="B562" s="10" t="str">
        <f>"28040"</f>
        <v>28040</v>
      </c>
      <c r="C562" s="11" t="s">
        <v>560</v>
      </c>
      <c r="D562" s="12">
        <v>2235.0</v>
      </c>
    </row>
    <row r="563" spans="1:4" customHeight="1" ht="130">
      <c r="A563"/>
      <c r="B563" s="10" t="str">
        <f>"28042"</f>
        <v>28042</v>
      </c>
      <c r="C563" s="11" t="s">
        <v>561</v>
      </c>
      <c r="D563" s="12">
        <v>17760.0</v>
      </c>
    </row>
    <row r="564" spans="1:4" customHeight="1" ht="130">
      <c r="A564"/>
      <c r="B564" s="10" t="str">
        <f>"28043"</f>
        <v>28043</v>
      </c>
      <c r="C564" s="11" t="s">
        <v>562</v>
      </c>
      <c r="D564" s="12">
        <v>2330.0</v>
      </c>
    </row>
    <row r="565" spans="1:4" customHeight="1" ht="130">
      <c r="A565"/>
      <c r="B565" s="10" t="str">
        <f>"28044"</f>
        <v>28044</v>
      </c>
      <c r="C565" s="11" t="s">
        <v>563</v>
      </c>
      <c r="D565" s="12">
        <v>3285.0</v>
      </c>
    </row>
    <row r="566" spans="1:4" customHeight="1" ht="130">
      <c r="A566"/>
      <c r="B566" s="10" t="str">
        <f>"28045"</f>
        <v>28045</v>
      </c>
      <c r="C566" s="11" t="s">
        <v>564</v>
      </c>
      <c r="D566" s="12">
        <v>40.0</v>
      </c>
    </row>
    <row r="567" spans="1:4" customHeight="1" ht="130">
      <c r="A567"/>
      <c r="B567" s="10" t="str">
        <f>"28046"</f>
        <v>28046</v>
      </c>
      <c r="C567" s="11" t="s">
        <v>565</v>
      </c>
      <c r="D567" s="12">
        <v>35.0</v>
      </c>
    </row>
    <row r="568" spans="1:4" customHeight="1" ht="130">
      <c r="A568"/>
      <c r="B568" s="10" t="str">
        <f>"28047"</f>
        <v>28047</v>
      </c>
      <c r="C568" s="11" t="s">
        <v>566</v>
      </c>
      <c r="D568" s="12">
        <v>30.0</v>
      </c>
    </row>
    <row r="569" spans="1:4" customHeight="1" ht="130">
      <c r="A569"/>
      <c r="B569" s="10" t="str">
        <f>"28048"</f>
        <v>28048</v>
      </c>
      <c r="C569" s="11" t="s">
        <v>567</v>
      </c>
      <c r="D569" s="12">
        <v>20.0</v>
      </c>
    </row>
    <row r="570" spans="1:4" customHeight="1" ht="130">
      <c r="A570"/>
      <c r="B570" s="10" t="str">
        <f>"28049"</f>
        <v>28049</v>
      </c>
      <c r="C570" s="11" t="s">
        <v>568</v>
      </c>
      <c r="D570" s="12">
        <v>120.0</v>
      </c>
    </row>
    <row r="571" spans="1:4" customHeight="1" ht="130">
      <c r="A571"/>
      <c r="B571" s="10" t="str">
        <f>"28050"</f>
        <v>28050</v>
      </c>
      <c r="C571" s="11" t="s">
        <v>569</v>
      </c>
      <c r="D571" s="12">
        <v>70.0</v>
      </c>
    </row>
    <row r="572" spans="1:4" customHeight="1" ht="130">
      <c r="A572"/>
      <c r="B572" s="10" t="str">
        <f>"28051"</f>
        <v>28051</v>
      </c>
      <c r="C572" s="11" t="s">
        <v>570</v>
      </c>
      <c r="D572" s="12">
        <v>40.0</v>
      </c>
    </row>
    <row r="573" spans="1:4" customHeight="1" ht="130">
      <c r="A573"/>
      <c r="B573" s="10" t="str">
        <f>"28052"</f>
        <v>28052</v>
      </c>
      <c r="C573" s="11" t="s">
        <v>571</v>
      </c>
      <c r="D573" s="12">
        <v>40.0</v>
      </c>
    </row>
    <row r="574" spans="1:4" customHeight="1" ht="130">
      <c r="A574"/>
      <c r="B574" s="10" t="str">
        <f>"28053"</f>
        <v>28053</v>
      </c>
      <c r="C574" s="11" t="s">
        <v>572</v>
      </c>
      <c r="D574" s="12">
        <v>25.0</v>
      </c>
    </row>
    <row r="575" spans="1:4" customHeight="1" ht="130">
      <c r="A575"/>
      <c r="B575" s="10" t="str">
        <f>"28054"</f>
        <v>28054</v>
      </c>
      <c r="C575" s="11" t="s">
        <v>573</v>
      </c>
      <c r="D575" s="12">
        <v>40.0</v>
      </c>
    </row>
    <row r="576" spans="1:4" customHeight="1" ht="130">
      <c r="A576"/>
      <c r="B576" s="10" t="str">
        <f>"28055"</f>
        <v>28055</v>
      </c>
      <c r="C576" s="11" t="s">
        <v>574</v>
      </c>
      <c r="D576" s="12">
        <v>25.0</v>
      </c>
    </row>
    <row r="577" spans="1:4" customHeight="1" ht="130">
      <c r="A577"/>
      <c r="B577" s="10" t="str">
        <f>"28056"</f>
        <v>28056</v>
      </c>
      <c r="C577" s="11" t="s">
        <v>575</v>
      </c>
      <c r="D577" s="12">
        <v>100.0</v>
      </c>
    </row>
    <row r="578" spans="1:4" customHeight="1" ht="130">
      <c r="A578"/>
      <c r="B578" s="10" t="str">
        <f>"28057"</f>
        <v>28057</v>
      </c>
      <c r="C578" s="11" t="s">
        <v>576</v>
      </c>
      <c r="D578" s="12">
        <v>120.0</v>
      </c>
    </row>
    <row r="579" spans="1:4" customHeight="1" ht="130">
      <c r="A579"/>
      <c r="B579" s="10" t="str">
        <f>"28070"</f>
        <v>28070</v>
      </c>
      <c r="C579" s="11" t="s">
        <v>577</v>
      </c>
      <c r="D579" s="12">
        <v>102.0</v>
      </c>
    </row>
    <row r="580" spans="1:4" customHeight="1" ht="130">
      <c r="A580"/>
      <c r="B580" s="10" t="str">
        <f>"28224"</f>
        <v>28224</v>
      </c>
      <c r="C580" s="11" t="s">
        <v>578</v>
      </c>
      <c r="D580" s="12">
        <v>17575.0</v>
      </c>
    </row>
    <row r="581" spans="1:4" customHeight="1" ht="130">
      <c r="A581"/>
      <c r="B581" s="10" t="str">
        <f>"28256"</f>
        <v>28256</v>
      </c>
      <c r="C581" s="11" t="s">
        <v>579</v>
      </c>
      <c r="D581" s="12">
        <v>252.0</v>
      </c>
    </row>
    <row r="582" spans="1:4" customHeight="1" ht="130">
      <c r="A582"/>
      <c r="B582" s="10" t="str">
        <f>"28363"</f>
        <v>28363</v>
      </c>
      <c r="C582" s="11" t="s">
        <v>580</v>
      </c>
      <c r="D582" s="12">
        <v>4752.0</v>
      </c>
    </row>
    <row r="583" spans="1:4" customHeight="1" ht="130">
      <c r="A583"/>
      <c r="B583" s="10" t="str">
        <f>"28364"</f>
        <v>28364</v>
      </c>
      <c r="C583" s="11" t="s">
        <v>581</v>
      </c>
      <c r="D583" s="12">
        <v>1116.0</v>
      </c>
    </row>
    <row r="584" spans="1:4" customHeight="1" ht="130">
      <c r="A584"/>
      <c r="B584" s="10" t="str">
        <f>"28385"</f>
        <v>28385</v>
      </c>
      <c r="C584" s="11" t="s">
        <v>582</v>
      </c>
      <c r="D584" s="12">
        <v>1560.0</v>
      </c>
    </row>
    <row r="585" spans="1:4" customHeight="1" ht="130">
      <c r="A585"/>
      <c r="B585" s="10" t="str">
        <f>"28483"</f>
        <v>28483</v>
      </c>
      <c r="C585" s="11" t="s">
        <v>583</v>
      </c>
      <c r="D585" s="12">
        <v>60.0</v>
      </c>
    </row>
    <row r="586" spans="1:4" customHeight="1" ht="130">
      <c r="A586"/>
      <c r="B586" s="10" t="str">
        <f>"28526"</f>
        <v>28526</v>
      </c>
      <c r="C586" s="11" t="s">
        <v>584</v>
      </c>
      <c r="D586" s="12">
        <v>720.0</v>
      </c>
    </row>
    <row r="587" spans="1:4" customHeight="1" ht="130">
      <c r="A587"/>
      <c r="B587" s="10" t="str">
        <f>"28549"</f>
        <v>28549</v>
      </c>
      <c r="C587" s="11" t="s">
        <v>585</v>
      </c>
      <c r="D587" s="12">
        <v>306.0</v>
      </c>
    </row>
    <row r="588" spans="1:4" customHeight="1" ht="130">
      <c r="A588"/>
      <c r="B588" s="10" t="str">
        <f>"28614"</f>
        <v>28614</v>
      </c>
      <c r="C588" s="11" t="s">
        <v>586</v>
      </c>
      <c r="D588" s="12">
        <v>1600.0</v>
      </c>
    </row>
    <row r="589" spans="1:4" customHeight="1" ht="130">
      <c r="A589"/>
      <c r="B589" s="10" t="str">
        <f>"28642"</f>
        <v>28642</v>
      </c>
      <c r="C589" s="11" t="s">
        <v>587</v>
      </c>
      <c r="D589" s="12">
        <v>325.0</v>
      </c>
    </row>
    <row r="590" spans="1:4" customHeight="1" ht="130">
      <c r="A590"/>
      <c r="B590" s="10" t="str">
        <f>"28643"</f>
        <v>28643</v>
      </c>
      <c r="C590" s="11" t="s">
        <v>588</v>
      </c>
      <c r="D590" s="12">
        <v>325.0</v>
      </c>
    </row>
    <row r="591" spans="1:4" customHeight="1" ht="130">
      <c r="A591"/>
      <c r="B591" s="10" t="str">
        <f>"28644"</f>
        <v>28644</v>
      </c>
      <c r="C591" s="11" t="s">
        <v>589</v>
      </c>
      <c r="D591" s="12">
        <v>264.0</v>
      </c>
    </row>
    <row r="592" spans="1:4" customHeight="1" ht="130">
      <c r="A592"/>
      <c r="B592" s="10" t="str">
        <f>"28646"</f>
        <v>28646</v>
      </c>
      <c r="C592" s="11" t="s">
        <v>590</v>
      </c>
      <c r="D592" s="12">
        <v>4350.0</v>
      </c>
    </row>
    <row r="593" spans="1:4" customHeight="1" ht="130">
      <c r="A593"/>
      <c r="B593" s="10" t="str">
        <f>"28686"</f>
        <v>28686</v>
      </c>
      <c r="C593" s="11" t="s">
        <v>591</v>
      </c>
      <c r="D593" s="12">
        <v>1470.0</v>
      </c>
    </row>
    <row r="594" spans="1:4" customHeight="1" ht="130">
      <c r="A594"/>
      <c r="B594" s="10" t="str">
        <f>"28703"</f>
        <v>28703</v>
      </c>
      <c r="C594" s="11" t="s">
        <v>592</v>
      </c>
      <c r="D594" s="12">
        <v>110.0</v>
      </c>
    </row>
    <row r="595" spans="1:4" customHeight="1" ht="130">
      <c r="A595"/>
      <c r="B595" s="10" t="str">
        <f>"28704"</f>
        <v>28704</v>
      </c>
      <c r="C595" s="11" t="s">
        <v>593</v>
      </c>
      <c r="D595" s="12">
        <v>500.0</v>
      </c>
    </row>
    <row r="596" spans="1:4" customHeight="1" ht="130">
      <c r="A596"/>
      <c r="B596" s="10" t="str">
        <f>"28751"</f>
        <v>28751</v>
      </c>
      <c r="C596" s="11" t="s">
        <v>594</v>
      </c>
      <c r="D596" s="12">
        <v>1388.0</v>
      </c>
    </row>
    <row r="597" spans="1:4" customHeight="1" ht="130">
      <c r="A597"/>
      <c r="B597" s="10" t="str">
        <f>"28794"</f>
        <v>28794</v>
      </c>
      <c r="C597" s="11" t="s">
        <v>595</v>
      </c>
      <c r="D597" s="12">
        <v>24.0</v>
      </c>
    </row>
    <row r="598" spans="1:4" customHeight="1" ht="130">
      <c r="A598"/>
      <c r="B598" s="10" t="str">
        <f>"28795"</f>
        <v>28795</v>
      </c>
      <c r="C598" s="11" t="s">
        <v>596</v>
      </c>
      <c r="D598" s="12">
        <v>12.0</v>
      </c>
    </row>
    <row r="599" spans="1:4" customHeight="1" ht="130">
      <c r="A599"/>
      <c r="B599" s="10" t="str">
        <f>"28817"</f>
        <v>28817</v>
      </c>
      <c r="C599" s="11" t="s">
        <v>597</v>
      </c>
      <c r="D599" s="12">
        <v>288.0</v>
      </c>
    </row>
    <row r="600" spans="1:4" customHeight="1" ht="130">
      <c r="A600"/>
      <c r="B600" s="10" t="str">
        <f>"28818"</f>
        <v>28818</v>
      </c>
      <c r="C600" s="11" t="s">
        <v>598</v>
      </c>
      <c r="D600" s="12">
        <v>6858.0</v>
      </c>
    </row>
    <row r="601" spans="1:4" customHeight="1" ht="130">
      <c r="A601"/>
      <c r="B601" s="10" t="str">
        <f>"28832"</f>
        <v>28832</v>
      </c>
      <c r="C601" s="11" t="s">
        <v>599</v>
      </c>
      <c r="D601" s="12">
        <v>4100.0</v>
      </c>
    </row>
    <row r="602" spans="1:4" customHeight="1" ht="130">
      <c r="A602"/>
      <c r="B602" s="10" t="str">
        <f>"28833"</f>
        <v>28833</v>
      </c>
      <c r="C602" s="11" t="s">
        <v>600</v>
      </c>
      <c r="D602" s="12">
        <v>486.0</v>
      </c>
    </row>
    <row r="603" spans="1:4" customHeight="1" ht="130">
      <c r="A603"/>
      <c r="B603" s="10" t="str">
        <f>"28834"</f>
        <v>28834</v>
      </c>
      <c r="C603" s="11" t="s">
        <v>601</v>
      </c>
      <c r="D603" s="12">
        <v>2232.0</v>
      </c>
    </row>
    <row r="604" spans="1:4" customHeight="1" ht="130">
      <c r="A604"/>
      <c r="B604" s="10" t="str">
        <f>"28885"</f>
        <v>28885</v>
      </c>
      <c r="C604" s="11" t="s">
        <v>602</v>
      </c>
      <c r="D604" s="12">
        <v>2650.0</v>
      </c>
    </row>
    <row r="605" spans="1:4" customHeight="1" ht="130">
      <c r="A605"/>
      <c r="B605" s="10" t="str">
        <f>"28886"</f>
        <v>28886</v>
      </c>
      <c r="C605" s="11" t="s">
        <v>603</v>
      </c>
      <c r="D605" s="12">
        <v>794.0</v>
      </c>
    </row>
    <row r="606" spans="1:4" customHeight="1" ht="130">
      <c r="A606"/>
      <c r="B606" s="10" t="str">
        <f>"28888"</f>
        <v>28888</v>
      </c>
      <c r="C606" s="11" t="s">
        <v>604</v>
      </c>
      <c r="D606" s="12">
        <v>9660.0</v>
      </c>
    </row>
    <row r="607" spans="1:4" customHeight="1" ht="130">
      <c r="A607"/>
      <c r="B607" s="10" t="str">
        <f>"28889"</f>
        <v>28889</v>
      </c>
      <c r="C607" s="11" t="s">
        <v>605</v>
      </c>
      <c r="D607" s="12">
        <v>316.0</v>
      </c>
    </row>
    <row r="608" spans="1:4" customHeight="1" ht="130">
      <c r="A608"/>
      <c r="B608" s="10" t="str">
        <f>"28890"</f>
        <v>28890</v>
      </c>
      <c r="C608" s="11" t="s">
        <v>606</v>
      </c>
      <c r="D608" s="12">
        <v>316.0</v>
      </c>
    </row>
    <row r="609" spans="1:4" customHeight="1" ht="130">
      <c r="A609"/>
      <c r="B609" s="10" t="str">
        <f>"28891"</f>
        <v>28891</v>
      </c>
      <c r="C609" s="11" t="s">
        <v>607</v>
      </c>
      <c r="D609" s="12">
        <v>5400.0</v>
      </c>
    </row>
    <row r="610" spans="1:4" customHeight="1" ht="130">
      <c r="A610"/>
      <c r="B610" s="10" t="str">
        <f>"28892"</f>
        <v>28892</v>
      </c>
      <c r="C610" s="11" t="s">
        <v>608</v>
      </c>
      <c r="D610" s="12">
        <v>1840.0</v>
      </c>
    </row>
    <row r="611" spans="1:4" customHeight="1" ht="130">
      <c r="A611"/>
      <c r="B611" s="10" t="str">
        <f>"28893"</f>
        <v>28893</v>
      </c>
      <c r="C611" s="11" t="s">
        <v>609</v>
      </c>
      <c r="D611" s="12">
        <v>2000.0</v>
      </c>
    </row>
    <row r="612" spans="1:4" customHeight="1" ht="130">
      <c r="A612"/>
      <c r="B612" s="10" t="str">
        <f>"28894"</f>
        <v>28894</v>
      </c>
      <c r="C612" s="11" t="s">
        <v>610</v>
      </c>
      <c r="D612" s="12">
        <v>750.0</v>
      </c>
    </row>
    <row r="613" spans="1:4" customHeight="1" ht="130">
      <c r="A613"/>
      <c r="B613" s="10" t="str">
        <f>"28895"</f>
        <v>28895</v>
      </c>
      <c r="C613" s="11" t="s">
        <v>611</v>
      </c>
      <c r="D613" s="12">
        <v>384.0</v>
      </c>
    </row>
    <row r="614" spans="1:4" customHeight="1" ht="130">
      <c r="A614"/>
      <c r="B614" s="10" t="str">
        <f>"28896"</f>
        <v>28896</v>
      </c>
      <c r="C614" s="11" t="s">
        <v>612</v>
      </c>
      <c r="D614" s="12">
        <v>1260.0</v>
      </c>
    </row>
    <row r="615" spans="1:4" customHeight="1" ht="130">
      <c r="A615"/>
      <c r="B615" s="10" t="str">
        <f>"28897"</f>
        <v>28897</v>
      </c>
      <c r="C615" s="11" t="s">
        <v>613</v>
      </c>
      <c r="D615" s="12">
        <v>1840.0</v>
      </c>
    </row>
    <row r="616" spans="1:4" customHeight="1" ht="130">
      <c r="A616"/>
      <c r="B616" s="10" t="str">
        <f>"28898"</f>
        <v>28898</v>
      </c>
      <c r="C616" s="11" t="s">
        <v>614</v>
      </c>
      <c r="D616" s="12">
        <v>850.0</v>
      </c>
    </row>
    <row r="617" spans="1:4" customHeight="1" ht="130">
      <c r="A617"/>
      <c r="B617" s="10" t="str">
        <f>"28899"</f>
        <v>28899</v>
      </c>
      <c r="C617" s="11" t="s">
        <v>615</v>
      </c>
      <c r="D617" s="12">
        <v>1840.0</v>
      </c>
    </row>
    <row r="618" spans="1:4" customHeight="1" ht="130">
      <c r="A618"/>
      <c r="B618" s="10" t="str">
        <f>"28900"</f>
        <v>28900</v>
      </c>
      <c r="C618" s="11" t="s">
        <v>616</v>
      </c>
      <c r="D618" s="12">
        <v>8000.0</v>
      </c>
    </row>
    <row r="619" spans="1:4" customHeight="1" ht="130">
      <c r="A619"/>
      <c r="B619" s="10" t="str">
        <f>"28901"</f>
        <v>28901</v>
      </c>
      <c r="C619" s="11" t="s">
        <v>617</v>
      </c>
      <c r="D619" s="12">
        <v>31500.0</v>
      </c>
    </row>
    <row r="620" spans="1:4" customHeight="1" ht="130">
      <c r="A620"/>
      <c r="B620" s="10" t="str">
        <f>"28903"</f>
        <v>28903</v>
      </c>
      <c r="C620" s="11" t="s">
        <v>618</v>
      </c>
      <c r="D620" s="12">
        <v>8920.0</v>
      </c>
    </row>
    <row r="621" spans="1:4" customHeight="1" ht="130">
      <c r="A621"/>
      <c r="B621" s="10" t="str">
        <f>"28904"</f>
        <v>28904</v>
      </c>
      <c r="C621" s="11" t="s">
        <v>619</v>
      </c>
      <c r="D621" s="12">
        <v>4374.0</v>
      </c>
    </row>
    <row r="622" spans="1:4" customHeight="1" ht="130">
      <c r="A622"/>
      <c r="B622" s="10" t="str">
        <f>"28906"</f>
        <v>28906</v>
      </c>
      <c r="C622" s="11" t="s">
        <v>620</v>
      </c>
      <c r="D622" s="12">
        <v>10220.0</v>
      </c>
    </row>
    <row r="623" spans="1:4" customHeight="1" ht="130">
      <c r="A623"/>
      <c r="B623" s="10" t="str">
        <f>"28908"</f>
        <v>28908</v>
      </c>
      <c r="C623" s="11" t="s">
        <v>621</v>
      </c>
      <c r="D623" s="12">
        <v>12000.0</v>
      </c>
    </row>
    <row r="624" spans="1:4" customHeight="1" ht="130">
      <c r="A624"/>
      <c r="B624" s="10" t="str">
        <f>"28909"</f>
        <v>28909</v>
      </c>
      <c r="C624" s="11" t="s">
        <v>622</v>
      </c>
      <c r="D624" s="12">
        <v>1655.0</v>
      </c>
    </row>
    <row r="625" spans="1:4" customHeight="1" ht="130">
      <c r="A625"/>
      <c r="B625" s="10" t="str">
        <f>"28910"</f>
        <v>28910</v>
      </c>
      <c r="C625" s="11" t="s">
        <v>623</v>
      </c>
      <c r="D625" s="12">
        <v>1200.0</v>
      </c>
    </row>
    <row r="626" spans="1:4" customHeight="1" ht="130">
      <c r="A626"/>
      <c r="B626" s="10" t="str">
        <f>"28911"</f>
        <v>28911</v>
      </c>
      <c r="C626" s="11" t="s">
        <v>624</v>
      </c>
      <c r="D626" s="12">
        <v>1005.0</v>
      </c>
    </row>
    <row r="627" spans="1:4" customHeight="1" ht="130">
      <c r="A627"/>
      <c r="B627" s="10" t="str">
        <f>"28912"</f>
        <v>28912</v>
      </c>
      <c r="C627" s="11" t="s">
        <v>625</v>
      </c>
      <c r="D627" s="12">
        <v>1005.0</v>
      </c>
    </row>
    <row r="628" spans="1:4" customHeight="1" ht="130">
      <c r="A628"/>
      <c r="B628" s="10" t="str">
        <f>"28913"</f>
        <v>28913</v>
      </c>
      <c r="C628" s="11" t="s">
        <v>626</v>
      </c>
      <c r="D628" s="12">
        <v>500.0</v>
      </c>
    </row>
    <row r="629" spans="1:4" customHeight="1" ht="130">
      <c r="A629"/>
      <c r="B629" s="10" t="str">
        <f>"28914"</f>
        <v>28914</v>
      </c>
      <c r="C629" s="11" t="s">
        <v>627</v>
      </c>
      <c r="D629" s="12">
        <v>15000.0</v>
      </c>
    </row>
    <row r="630" spans="1:4" customHeight="1" ht="130">
      <c r="A630"/>
      <c r="B630" s="10" t="str">
        <f>"28915"</f>
        <v>28915</v>
      </c>
      <c r="C630" s="11" t="s">
        <v>628</v>
      </c>
      <c r="D630" s="12">
        <v>680.0</v>
      </c>
    </row>
    <row r="631" spans="1:4" customHeight="1" ht="130">
      <c r="A631"/>
      <c r="B631" s="10" t="str">
        <f>"28921"</f>
        <v>28921</v>
      </c>
      <c r="C631" s="11" t="s">
        <v>629</v>
      </c>
      <c r="D631" s="12">
        <v>200.0</v>
      </c>
    </row>
    <row r="632" spans="1:4" customHeight="1" ht="130">
      <c r="A632"/>
      <c r="B632" s="10" t="str">
        <f>"28922"</f>
        <v>28922</v>
      </c>
      <c r="C632" s="11" t="s">
        <v>630</v>
      </c>
      <c r="D632" s="12">
        <v>3000.0</v>
      </c>
    </row>
    <row r="633" spans="1:4" customHeight="1" ht="130">
      <c r="A633"/>
      <c r="B633" s="10" t="str">
        <f>"29126"</f>
        <v>29126</v>
      </c>
      <c r="C633" s="11" t="s">
        <v>631</v>
      </c>
      <c r="D633" s="12">
        <v>19085.0</v>
      </c>
    </row>
    <row r="634" spans="1:4" customHeight="1" ht="130">
      <c r="A634"/>
      <c r="B634" s="10" t="str">
        <f>"29128"</f>
        <v>29128</v>
      </c>
      <c r="C634" s="11" t="s">
        <v>632</v>
      </c>
      <c r="D634" s="12">
        <v>19778.0</v>
      </c>
    </row>
    <row r="635" spans="1:4" customHeight="1" ht="130">
      <c r="A635"/>
      <c r="B635" s="10" t="str">
        <f>"29129"</f>
        <v>29129</v>
      </c>
      <c r="C635" s="11" t="s">
        <v>633</v>
      </c>
      <c r="D635" s="12">
        <v>5390.0</v>
      </c>
    </row>
    <row r="636" spans="1:4" customHeight="1" ht="130">
      <c r="A636"/>
      <c r="B636" s="10" t="str">
        <f>"29131"</f>
        <v>29131</v>
      </c>
      <c r="C636" s="11" t="s">
        <v>634</v>
      </c>
      <c r="D636" s="12">
        <v>10670.0</v>
      </c>
    </row>
    <row r="637" spans="1:4" customHeight="1" ht="130">
      <c r="A637"/>
      <c r="B637" s="10" t="str">
        <f>"29132"</f>
        <v>29132</v>
      </c>
      <c r="C637" s="11" t="s">
        <v>635</v>
      </c>
      <c r="D637" s="12">
        <v>15796.0</v>
      </c>
    </row>
    <row r="638" spans="1:4" customHeight="1" ht="130">
      <c r="A638"/>
      <c r="B638" s="10" t="str">
        <f>"29133"</f>
        <v>29133</v>
      </c>
      <c r="C638" s="11" t="s">
        <v>636</v>
      </c>
      <c r="D638" s="12">
        <v>14259.0</v>
      </c>
    </row>
    <row r="639" spans="1:4" customHeight="1" ht="130">
      <c r="A639"/>
      <c r="B639" s="10" t="str">
        <f>"29134"</f>
        <v>29134</v>
      </c>
      <c r="C639" s="11" t="s">
        <v>637</v>
      </c>
      <c r="D639" s="12">
        <v>17281.0</v>
      </c>
    </row>
    <row r="640" spans="1:4" customHeight="1" ht="130">
      <c r="A640"/>
      <c r="B640" s="10" t="str">
        <f>"29136"</f>
        <v>29136</v>
      </c>
      <c r="C640" s="11" t="s">
        <v>638</v>
      </c>
      <c r="D640" s="12">
        <v>17281.0</v>
      </c>
    </row>
    <row r="641" spans="1:4" customHeight="1" ht="130">
      <c r="A641"/>
      <c r="B641" s="10" t="str">
        <f>"29137"</f>
        <v>29137</v>
      </c>
      <c r="C641" s="11" t="s">
        <v>639</v>
      </c>
      <c r="D641" s="12">
        <v>6074.0</v>
      </c>
    </row>
    <row r="642" spans="1:4" customHeight="1" ht="130">
      <c r="A642"/>
      <c r="B642" s="10" t="str">
        <f>"29139"</f>
        <v>29139</v>
      </c>
      <c r="C642" s="11" t="s">
        <v>640</v>
      </c>
      <c r="D642" s="12">
        <v>2508.0</v>
      </c>
    </row>
    <row r="643" spans="1:4" customHeight="1" ht="130">
      <c r="A643"/>
      <c r="B643" s="10" t="str">
        <f>"29140"</f>
        <v>29140</v>
      </c>
      <c r="C643" s="11" t="s">
        <v>641</v>
      </c>
      <c r="D643" s="12">
        <v>2389.0</v>
      </c>
    </row>
    <row r="644" spans="1:4" customHeight="1" ht="130">
      <c r="A644"/>
      <c r="B644" s="10" t="str">
        <f>"29142"</f>
        <v>29142</v>
      </c>
      <c r="C644" s="11" t="s">
        <v>642</v>
      </c>
      <c r="D644" s="12">
        <v>1595.0</v>
      </c>
    </row>
    <row r="645" spans="1:4" customHeight="1" ht="130">
      <c r="A645"/>
      <c r="B645" s="10" t="str">
        <f>"29143"</f>
        <v>29143</v>
      </c>
      <c r="C645" s="11" t="s">
        <v>643</v>
      </c>
      <c r="D645" s="12">
        <v>616.0</v>
      </c>
    </row>
    <row r="646" spans="1:4" customHeight="1" ht="130">
      <c r="A646"/>
      <c r="B646" s="10" t="str">
        <f>"29149"</f>
        <v>29149</v>
      </c>
      <c r="C646" s="11" t="s">
        <v>644</v>
      </c>
      <c r="D646" s="12">
        <v>7950.0</v>
      </c>
    </row>
    <row r="647" spans="1:4" customHeight="1" ht="130">
      <c r="A647"/>
      <c r="B647" s="10" t="str">
        <f>"29162"</f>
        <v>29162</v>
      </c>
      <c r="C647" s="11" t="s">
        <v>645</v>
      </c>
      <c r="D647" s="12">
        <v>640.0</v>
      </c>
    </row>
    <row r="648" spans="1:4" customHeight="1" ht="130">
      <c r="A648"/>
      <c r="B648" s="10" t="str">
        <f>"29163"</f>
        <v>29163</v>
      </c>
      <c r="C648" s="11" t="s">
        <v>646</v>
      </c>
      <c r="D648" s="12">
        <v>640.0</v>
      </c>
    </row>
    <row r="649" spans="1:4" customHeight="1" ht="130">
      <c r="A649"/>
      <c r="B649" s="10" t="str">
        <f>"29164"</f>
        <v>29164</v>
      </c>
      <c r="C649" s="11" t="s">
        <v>647</v>
      </c>
      <c r="D649" s="12">
        <v>920.0</v>
      </c>
    </row>
    <row r="650" spans="1:4" customHeight="1" ht="130">
      <c r="A650"/>
      <c r="B650" s="10" t="str">
        <f>"29165"</f>
        <v>29165</v>
      </c>
      <c r="C650" s="11" t="s">
        <v>648</v>
      </c>
      <c r="D650" s="12">
        <v>950.0</v>
      </c>
    </row>
    <row r="651" spans="1:4" customHeight="1" ht="130">
      <c r="A651"/>
      <c r="B651" s="10" t="str">
        <f>"29287"</f>
        <v>29287</v>
      </c>
      <c r="C651" s="11" t="s">
        <v>649</v>
      </c>
      <c r="D651" s="12">
        <v>80.0</v>
      </c>
    </row>
    <row r="652" spans="1:4" customHeight="1" ht="130">
      <c r="A652"/>
      <c r="B652" s="10" t="str">
        <f>"29509"</f>
        <v>29509</v>
      </c>
      <c r="C652" s="11" t="s">
        <v>650</v>
      </c>
      <c r="D652" s="12">
        <v>960.0</v>
      </c>
    </row>
    <row r="653" spans="1:4" customHeight="1" ht="130">
      <c r="A653"/>
      <c r="B653" s="10" t="str">
        <f>"29510"</f>
        <v>29510</v>
      </c>
      <c r="C653" s="11" t="s">
        <v>651</v>
      </c>
      <c r="D653" s="12">
        <v>850.0</v>
      </c>
    </row>
    <row r="654" spans="1:4" customHeight="1" ht="130">
      <c r="A654"/>
      <c r="B654" s="10" t="str">
        <f>"29511"</f>
        <v>29511</v>
      </c>
      <c r="C654" s="11" t="s">
        <v>652</v>
      </c>
      <c r="D654" s="12">
        <v>1280.0</v>
      </c>
    </row>
    <row r="655" spans="1:4" customHeight="1" ht="130">
      <c r="A655"/>
      <c r="B655" s="10" t="str">
        <f>"29512"</f>
        <v>29512</v>
      </c>
      <c r="C655" s="11" t="s">
        <v>653</v>
      </c>
      <c r="D655" s="12">
        <v>1350.0</v>
      </c>
    </row>
    <row r="656" spans="1:4" customHeight="1" ht="130">
      <c r="A656"/>
      <c r="B656" s="10" t="str">
        <f>"29513"</f>
        <v>29513</v>
      </c>
      <c r="C656" s="11" t="s">
        <v>654</v>
      </c>
      <c r="D656" s="12">
        <v>1500.0</v>
      </c>
    </row>
    <row r="657" spans="1:4" customHeight="1" ht="130">
      <c r="A657"/>
      <c r="B657" s="10" t="str">
        <f>"29564"</f>
        <v>29564</v>
      </c>
      <c r="C657" s="11" t="s">
        <v>655</v>
      </c>
      <c r="D657" s="12">
        <v>338.0</v>
      </c>
    </row>
    <row r="658" spans="1:4" customHeight="1" ht="130">
      <c r="A658"/>
      <c r="B658" s="10" t="str">
        <f>"29605"</f>
        <v>29605</v>
      </c>
      <c r="C658" s="11" t="s">
        <v>656</v>
      </c>
      <c r="D658" s="12">
        <v>162.0</v>
      </c>
    </row>
    <row r="659" spans="1:4" customHeight="1" ht="130">
      <c r="A659"/>
      <c r="B659" s="10" t="str">
        <f>"29606"</f>
        <v>29606</v>
      </c>
      <c r="C659" s="11" t="s">
        <v>657</v>
      </c>
      <c r="D659" s="12">
        <v>630.0</v>
      </c>
    </row>
    <row r="660" spans="1:4" customHeight="1" ht="130">
      <c r="A660"/>
      <c r="B660" s="10" t="str">
        <f>"29711"</f>
        <v>29711</v>
      </c>
      <c r="C660" s="11" t="s">
        <v>658</v>
      </c>
      <c r="D660" s="12">
        <v>36.0</v>
      </c>
    </row>
    <row r="661" spans="1:4" customHeight="1" ht="130">
      <c r="A661"/>
      <c r="B661" s="10" t="str">
        <f>"29712"</f>
        <v>29712</v>
      </c>
      <c r="C661" s="11" t="s">
        <v>659</v>
      </c>
      <c r="D661" s="12">
        <v>36.0</v>
      </c>
    </row>
    <row r="662" spans="1:4" customHeight="1" ht="130">
      <c r="A662"/>
      <c r="B662" s="10" t="str">
        <f>"29748"</f>
        <v>29748</v>
      </c>
      <c r="C662" s="11" t="s">
        <v>660</v>
      </c>
      <c r="D662" s="12">
        <v>105.0</v>
      </c>
    </row>
    <row r="663" spans="1:4" customHeight="1" ht="130">
      <c r="A663"/>
      <c r="B663" s="10" t="str">
        <f>"29766"</f>
        <v>29766</v>
      </c>
      <c r="C663" s="11" t="s">
        <v>661</v>
      </c>
      <c r="D663" s="12">
        <v>1500.0</v>
      </c>
    </row>
    <row r="664" spans="1:4" customHeight="1" ht="130">
      <c r="A664"/>
      <c r="B664" s="10" t="str">
        <f>"29819"</f>
        <v>29819</v>
      </c>
      <c r="C664" s="11" t="s">
        <v>662</v>
      </c>
      <c r="D664" s="12">
        <v>1280.0</v>
      </c>
    </row>
    <row r="665" spans="1:4" customHeight="1" ht="130">
      <c r="A665"/>
      <c r="B665" s="10" t="str">
        <f>"29820"</f>
        <v>29820</v>
      </c>
      <c r="C665" s="11" t="s">
        <v>663</v>
      </c>
      <c r="D665" s="12">
        <v>1650.0</v>
      </c>
    </row>
    <row r="666" spans="1:4" customHeight="1" ht="130">
      <c r="A666"/>
      <c r="B666" s="10" t="str">
        <f>"29970"</f>
        <v>29970</v>
      </c>
      <c r="C666" s="11" t="s">
        <v>664</v>
      </c>
      <c r="D666" s="12">
        <v>147.0</v>
      </c>
    </row>
    <row r="667" spans="1:4" customHeight="1" ht="130">
      <c r="A667"/>
      <c r="B667" s="10" t="str">
        <f>"29976"</f>
        <v>29976</v>
      </c>
      <c r="C667" s="11" t="s">
        <v>665</v>
      </c>
      <c r="D667" s="12">
        <v>75.0</v>
      </c>
    </row>
    <row r="668" spans="1:4" customHeight="1" ht="130">
      <c r="A668"/>
      <c r="B668" s="10" t="str">
        <f>"30127"</f>
        <v>30127</v>
      </c>
      <c r="C668" s="11" t="s">
        <v>666</v>
      </c>
      <c r="D668" s="12">
        <v>2217.0</v>
      </c>
    </row>
    <row r="669" spans="1:4" customHeight="1" ht="130">
      <c r="A669"/>
      <c r="B669" s="10" t="str">
        <f>"30255"</f>
        <v>30255</v>
      </c>
      <c r="C669" s="11" t="s">
        <v>667</v>
      </c>
      <c r="D669" s="12">
        <v>1201.0</v>
      </c>
    </row>
    <row r="670" spans="1:4" customHeight="1" ht="130">
      <c r="A670"/>
      <c r="B670" s="10" t="str">
        <f>"30343"</f>
        <v>30343</v>
      </c>
      <c r="C670" s="11" t="s">
        <v>668</v>
      </c>
      <c r="D670" s="12">
        <v>792.0</v>
      </c>
    </row>
    <row r="671" spans="1:4" customHeight="1" ht="130">
      <c r="A671"/>
      <c r="B671" s="10" t="str">
        <f>"30344"</f>
        <v>30344</v>
      </c>
      <c r="C671" s="11" t="s">
        <v>669</v>
      </c>
      <c r="D671" s="12">
        <v>936.0</v>
      </c>
    </row>
    <row r="672" spans="1:4" customHeight="1" ht="130">
      <c r="A672"/>
      <c r="B672" s="10" t="str">
        <f>"30345"</f>
        <v>30345</v>
      </c>
      <c r="C672" s="11" t="s">
        <v>670</v>
      </c>
      <c r="D672" s="12">
        <v>5418.0</v>
      </c>
    </row>
    <row r="673" spans="1:4" customHeight="1" ht="130">
      <c r="A673"/>
      <c r="B673" s="10" t="str">
        <f>"30346"</f>
        <v>30346</v>
      </c>
      <c r="C673" s="11" t="s">
        <v>671</v>
      </c>
      <c r="D673" s="12">
        <v>540.0</v>
      </c>
    </row>
    <row r="674" spans="1:4" customHeight="1" ht="130">
      <c r="A674"/>
      <c r="B674" s="10" t="str">
        <f>"30433"</f>
        <v>30433</v>
      </c>
      <c r="C674" s="11" t="s">
        <v>672</v>
      </c>
      <c r="D674" s="12">
        <v>4030.0</v>
      </c>
    </row>
    <row r="675" spans="1:4" customHeight="1" ht="130">
      <c r="A675"/>
      <c r="B675" s="10" t="str">
        <f>"30523"</f>
        <v>30523</v>
      </c>
      <c r="C675" s="11" t="s">
        <v>673</v>
      </c>
      <c r="D675" s="12">
        <v>576.0</v>
      </c>
    </row>
    <row r="676" spans="1:4" customHeight="1" ht="130">
      <c r="A676"/>
      <c r="B676" s="10" t="str">
        <f>"30541"</f>
        <v>30541</v>
      </c>
      <c r="C676" s="11" t="s">
        <v>674</v>
      </c>
      <c r="D676" s="12">
        <v>3402.0</v>
      </c>
    </row>
    <row r="677" spans="1:4" customHeight="1" ht="130">
      <c r="A677"/>
      <c r="B677" s="10" t="str">
        <f>"30542"</f>
        <v>30542</v>
      </c>
      <c r="C677" s="11" t="s">
        <v>675</v>
      </c>
      <c r="D677" s="12">
        <v>9434.0</v>
      </c>
    </row>
    <row r="678" spans="1:4" customHeight="1" ht="130">
      <c r="A678"/>
      <c r="B678" s="10" t="str">
        <f>"30543"</f>
        <v>30543</v>
      </c>
      <c r="C678" s="11" t="s">
        <v>676</v>
      </c>
      <c r="D678" s="12">
        <v>846.0</v>
      </c>
    </row>
    <row r="679" spans="1:4" customHeight="1" ht="130">
      <c r="A679"/>
      <c r="B679" s="10" t="str">
        <f>"30544"</f>
        <v>30544</v>
      </c>
      <c r="C679" s="11" t="s">
        <v>677</v>
      </c>
      <c r="D679" s="12">
        <v>3132.0</v>
      </c>
    </row>
    <row r="680" spans="1:4" customHeight="1" ht="130">
      <c r="A680"/>
      <c r="B680" s="10" t="str">
        <f>"30545"</f>
        <v>30545</v>
      </c>
      <c r="C680" s="11" t="s">
        <v>678</v>
      </c>
      <c r="D680" s="12">
        <v>6858.0</v>
      </c>
    </row>
    <row r="681" spans="1:4" customHeight="1" ht="130">
      <c r="A681"/>
      <c r="B681" s="10" t="str">
        <f>"30546"</f>
        <v>30546</v>
      </c>
      <c r="C681" s="11" t="s">
        <v>679</v>
      </c>
      <c r="D681" s="12">
        <v>1134.0</v>
      </c>
    </row>
    <row r="682" spans="1:4" customHeight="1" ht="130">
      <c r="A682"/>
      <c r="B682" s="10" t="str">
        <f>"30584"</f>
        <v>30584</v>
      </c>
      <c r="C682" s="11" t="s">
        <v>680</v>
      </c>
      <c r="D682" s="12">
        <v>234.0</v>
      </c>
    </row>
    <row r="683" spans="1:4" customHeight="1" ht="130">
      <c r="A683"/>
      <c r="B683" s="10" t="str">
        <f>"30585"</f>
        <v>30585</v>
      </c>
      <c r="C683" s="11" t="s">
        <v>681</v>
      </c>
      <c r="D683" s="12">
        <v>972.0</v>
      </c>
    </row>
    <row r="684" spans="1:4" customHeight="1" ht="130">
      <c r="A684"/>
      <c r="B684" s="10" t="str">
        <f>"30586"</f>
        <v>30586</v>
      </c>
      <c r="C684" s="11" t="s">
        <v>682</v>
      </c>
      <c r="D684" s="12">
        <v>108.0</v>
      </c>
    </row>
    <row r="685" spans="1:4" customHeight="1" ht="130">
      <c r="A685"/>
      <c r="B685" s="10" t="str">
        <f>"30611"</f>
        <v>30611</v>
      </c>
      <c r="C685" s="11" t="s">
        <v>683</v>
      </c>
      <c r="D685" s="12">
        <v>1300.0</v>
      </c>
    </row>
    <row r="686" spans="1:4" customHeight="1" ht="130">
      <c r="A686"/>
      <c r="B686" s="10" t="str">
        <f>"30612"</f>
        <v>30612</v>
      </c>
      <c r="C686" s="11" t="s">
        <v>684</v>
      </c>
      <c r="D686" s="12">
        <v>2860.0</v>
      </c>
    </row>
    <row r="687" spans="1:4" customHeight="1" ht="130">
      <c r="A687"/>
      <c r="B687" s="10" t="str">
        <f>"30628"</f>
        <v>30628</v>
      </c>
      <c r="C687" s="11" t="s">
        <v>685</v>
      </c>
      <c r="D687" s="12">
        <v>118.0</v>
      </c>
    </row>
    <row r="688" spans="1:4" customHeight="1" ht="130">
      <c r="A688"/>
      <c r="B688" s="10" t="str">
        <f>"30736"</f>
        <v>30736</v>
      </c>
      <c r="C688" s="11" t="s">
        <v>686</v>
      </c>
      <c r="D688" s="12">
        <v>11515.0</v>
      </c>
    </row>
    <row r="689" spans="1:4" customHeight="1" ht="130">
      <c r="A689"/>
      <c r="B689" s="10" t="str">
        <f>"30738"</f>
        <v>30738</v>
      </c>
      <c r="C689" s="11" t="s">
        <v>687</v>
      </c>
      <c r="D689" s="12">
        <v>50.0</v>
      </c>
    </row>
    <row r="690" spans="1:4" customHeight="1" ht="130">
      <c r="A690"/>
      <c r="B690" s="10" t="str">
        <f>"30816"</f>
        <v>30816</v>
      </c>
      <c r="C690" s="11" t="s">
        <v>688</v>
      </c>
      <c r="D690" s="12">
        <v>72.0</v>
      </c>
    </row>
    <row r="691" spans="1:4" customHeight="1" ht="130">
      <c r="A691"/>
      <c r="B691" s="10" t="str">
        <f>"30817"</f>
        <v>30817</v>
      </c>
      <c r="C691" s="11" t="s">
        <v>689</v>
      </c>
      <c r="D691" s="12">
        <v>954.0</v>
      </c>
    </row>
    <row r="692" spans="1:4" customHeight="1" ht="130">
      <c r="A692"/>
      <c r="B692" s="10" t="str">
        <f>"30820"</f>
        <v>30820</v>
      </c>
      <c r="C692" s="11" t="s">
        <v>690</v>
      </c>
      <c r="D692" s="12">
        <v>1836.0</v>
      </c>
    </row>
    <row r="693" spans="1:4" customHeight="1" ht="130">
      <c r="A693"/>
      <c r="B693" s="10" t="str">
        <f>"30821"</f>
        <v>30821</v>
      </c>
      <c r="C693" s="11" t="s">
        <v>691</v>
      </c>
      <c r="D693" s="12">
        <v>3708.0</v>
      </c>
    </row>
    <row r="694" spans="1:4" customHeight="1" ht="130">
      <c r="A694"/>
      <c r="B694" s="10" t="str">
        <f>"30876"</f>
        <v>30876</v>
      </c>
      <c r="C694" s="11" t="s">
        <v>692</v>
      </c>
      <c r="D694" s="12">
        <v>1608.0</v>
      </c>
    </row>
    <row r="695" spans="1:4" customHeight="1" ht="130">
      <c r="A695"/>
      <c r="B695" s="10" t="str">
        <f>"30877"</f>
        <v>30877</v>
      </c>
      <c r="C695" s="11" t="s">
        <v>693</v>
      </c>
      <c r="D695" s="12">
        <v>4810.0</v>
      </c>
    </row>
    <row r="696" spans="1:4" customHeight="1" ht="130">
      <c r="A696"/>
      <c r="B696" s="10" t="str">
        <f>"30878"</f>
        <v>30878</v>
      </c>
      <c r="C696" s="11" t="s">
        <v>694</v>
      </c>
      <c r="D696" s="12">
        <v>5607.0</v>
      </c>
    </row>
    <row r="697" spans="1:4" customHeight="1" ht="130">
      <c r="A697"/>
      <c r="B697" s="10" t="str">
        <f>"31085"</f>
        <v>31085</v>
      </c>
      <c r="C697" s="11" t="s">
        <v>695</v>
      </c>
      <c r="D697" s="12">
        <v>96.0</v>
      </c>
    </row>
    <row r="698" spans="1:4" customHeight="1" ht="130">
      <c r="A698"/>
      <c r="B698" s="10" t="str">
        <f>"31090"</f>
        <v>31090</v>
      </c>
      <c r="C698" s="11" t="s">
        <v>696</v>
      </c>
      <c r="D698" s="12">
        <v>96.0</v>
      </c>
    </row>
    <row r="699" spans="1:4" customHeight="1" ht="130">
      <c r="A699"/>
      <c r="B699" s="10" t="str">
        <f>"31092"</f>
        <v>31092</v>
      </c>
      <c r="C699" s="11" t="s">
        <v>697</v>
      </c>
      <c r="D699" s="12">
        <v>96.0</v>
      </c>
    </row>
    <row r="700" spans="1:4" customHeight="1" ht="130">
      <c r="A700"/>
      <c r="B700" s="10" t="str">
        <f>"31093"</f>
        <v>31093</v>
      </c>
      <c r="C700" s="11" t="s">
        <v>698</v>
      </c>
      <c r="D700" s="12">
        <v>96.0</v>
      </c>
    </row>
    <row r="701" spans="1:4" customHeight="1" ht="130">
      <c r="A701"/>
      <c r="B701" s="10" t="str">
        <f>"31337"</f>
        <v>31337</v>
      </c>
      <c r="C701" s="11" t="s">
        <v>699</v>
      </c>
      <c r="D701" s="12">
        <v>750.0</v>
      </c>
    </row>
    <row r="702" spans="1:4" customHeight="1" ht="130">
      <c r="A702"/>
      <c r="B702" s="10" t="str">
        <f>"31339"</f>
        <v>31339</v>
      </c>
      <c r="C702" s="11" t="s">
        <v>700</v>
      </c>
      <c r="D702" s="12">
        <v>400.0</v>
      </c>
    </row>
    <row r="703" spans="1:4" customHeight="1" ht="130">
      <c r="A703"/>
      <c r="B703" s="10" t="str">
        <f>"31381"</f>
        <v>31381</v>
      </c>
      <c r="C703" s="11" t="s">
        <v>701</v>
      </c>
      <c r="D703" s="12">
        <v>450.0</v>
      </c>
    </row>
    <row r="704" spans="1:4" customHeight="1" ht="130">
      <c r="A704"/>
      <c r="B704" s="10" t="str">
        <f>"31382"</f>
        <v>31382</v>
      </c>
      <c r="C704" s="11" t="s">
        <v>702</v>
      </c>
      <c r="D704" s="12">
        <v>36.0</v>
      </c>
    </row>
    <row r="705" spans="1:4" customHeight="1" ht="130">
      <c r="A705"/>
      <c r="B705" s="10" t="str">
        <f>"31390"</f>
        <v>31390</v>
      </c>
      <c r="C705" s="11" t="s">
        <v>703</v>
      </c>
      <c r="D705" s="12">
        <v>11862.0</v>
      </c>
    </row>
    <row r="706" spans="1:4" customHeight="1" ht="130">
      <c r="A706"/>
      <c r="B706" s="10" t="str">
        <f>"31395"</f>
        <v>31395</v>
      </c>
      <c r="C706" s="11" t="s">
        <v>704</v>
      </c>
      <c r="D706" s="12">
        <v>1098.0</v>
      </c>
    </row>
    <row r="707" spans="1:4" customHeight="1" ht="130">
      <c r="A707"/>
      <c r="B707" s="10" t="str">
        <f>"31485"</f>
        <v>31485</v>
      </c>
      <c r="C707" s="11" t="s">
        <v>705</v>
      </c>
      <c r="D707" s="12">
        <v>724.0</v>
      </c>
    </row>
    <row r="708" spans="1:4" customHeight="1" ht="130">
      <c r="A708"/>
      <c r="B708" s="10" t="str">
        <f>"31504"</f>
        <v>31504</v>
      </c>
      <c r="C708" s="11" t="s">
        <v>706</v>
      </c>
      <c r="D708" s="12">
        <v>3880.0</v>
      </c>
    </row>
    <row r="709" spans="1:4" customHeight="1" ht="130">
      <c r="A709"/>
      <c r="B709" s="10" t="str">
        <f>"31559"</f>
        <v>31559</v>
      </c>
      <c r="C709" s="11" t="s">
        <v>707</v>
      </c>
      <c r="D709" s="12">
        <v>910.0</v>
      </c>
    </row>
    <row r="710" spans="1:4" customHeight="1" ht="130">
      <c r="A710"/>
      <c r="B710" s="10" t="str">
        <f>"31611"</f>
        <v>31611</v>
      </c>
      <c r="C710" s="11" t="s">
        <v>708</v>
      </c>
      <c r="D710" s="12">
        <v>1014.0</v>
      </c>
    </row>
    <row r="711" spans="1:4" customHeight="1" ht="130">
      <c r="A711"/>
      <c r="B711" s="10" t="str">
        <f>"31652"</f>
        <v>31652</v>
      </c>
      <c r="C711" s="11" t="s">
        <v>709</v>
      </c>
      <c r="D711" s="12">
        <v>1200.0</v>
      </c>
    </row>
    <row r="712" spans="1:4" customHeight="1" ht="130">
      <c r="A712"/>
      <c r="B712" s="10" t="str">
        <f>"31653"</f>
        <v>31653</v>
      </c>
      <c r="C712" s="11" t="s">
        <v>710</v>
      </c>
      <c r="D712" s="12">
        <v>1200.0</v>
      </c>
    </row>
    <row r="713" spans="1:4" customHeight="1" ht="130">
      <c r="A713"/>
      <c r="B713" s="10" t="str">
        <f>"31654"</f>
        <v>31654</v>
      </c>
      <c r="C713" s="11" t="s">
        <v>711</v>
      </c>
      <c r="D713" s="12">
        <v>580.0</v>
      </c>
    </row>
    <row r="714" spans="1:4" customHeight="1" ht="130">
      <c r="A714"/>
      <c r="B714" s="10" t="str">
        <f>"31655"</f>
        <v>31655</v>
      </c>
      <c r="C714" s="11" t="s">
        <v>712</v>
      </c>
      <c r="D714" s="12">
        <v>1800.0</v>
      </c>
    </row>
    <row r="715" spans="1:4" customHeight="1" ht="130">
      <c r="A715"/>
      <c r="B715" s="10" t="str">
        <f>"31656"</f>
        <v>31656</v>
      </c>
      <c r="C715" s="11" t="s">
        <v>713</v>
      </c>
      <c r="D715" s="12">
        <v>1900.0</v>
      </c>
    </row>
    <row r="716" spans="1:4" customHeight="1" ht="130">
      <c r="A716"/>
      <c r="B716" s="10" t="str">
        <f>"31657"</f>
        <v>31657</v>
      </c>
      <c r="C716" s="11" t="s">
        <v>714</v>
      </c>
      <c r="D716" s="12">
        <v>1000.0</v>
      </c>
    </row>
    <row r="717" spans="1:4" customHeight="1" ht="130">
      <c r="A717"/>
      <c r="B717" s="10" t="str">
        <f>"31658"</f>
        <v>31658</v>
      </c>
      <c r="C717" s="11" t="s">
        <v>715</v>
      </c>
      <c r="D717" s="12">
        <v>1100.0</v>
      </c>
    </row>
    <row r="718" spans="1:4" customHeight="1" ht="130">
      <c r="A718"/>
      <c r="B718" s="10" t="str">
        <f>"31659"</f>
        <v>31659</v>
      </c>
      <c r="C718" s="11" t="s">
        <v>716</v>
      </c>
      <c r="D718" s="12">
        <v>630.0</v>
      </c>
    </row>
    <row r="719" spans="1:4" customHeight="1" ht="130">
      <c r="A719"/>
      <c r="B719" s="10" t="str">
        <f>"31660"</f>
        <v>31660</v>
      </c>
      <c r="C719" s="11" t="s">
        <v>717</v>
      </c>
      <c r="D719" s="12">
        <v>640.0</v>
      </c>
    </row>
    <row r="720" spans="1:4" customHeight="1" ht="130">
      <c r="A720"/>
      <c r="B720" s="10" t="str">
        <f>"31661"</f>
        <v>31661</v>
      </c>
      <c r="C720" s="11" t="s">
        <v>718</v>
      </c>
      <c r="D720" s="12">
        <v>680.0</v>
      </c>
    </row>
    <row r="721" spans="1:4" customHeight="1" ht="130">
      <c r="A721"/>
      <c r="B721" s="10" t="str">
        <f>"31757"</f>
        <v>31757</v>
      </c>
      <c r="C721" s="11" t="s">
        <v>719</v>
      </c>
      <c r="D721" s="12">
        <v>1368.0</v>
      </c>
    </row>
    <row r="722" spans="1:4" customHeight="1" ht="130">
      <c r="A722"/>
      <c r="B722" s="10" t="str">
        <f>"31758"</f>
        <v>31758</v>
      </c>
      <c r="C722" s="11" t="s">
        <v>720</v>
      </c>
      <c r="D722" s="12">
        <v>252.0</v>
      </c>
    </row>
    <row r="723" spans="1:4" customHeight="1" ht="130">
      <c r="A723"/>
      <c r="B723" s="10" t="str">
        <f>"31766"</f>
        <v>31766</v>
      </c>
      <c r="C723" s="11" t="s">
        <v>721</v>
      </c>
      <c r="D723" s="12">
        <v>192.0</v>
      </c>
    </row>
    <row r="724" spans="1:4" customHeight="1" ht="130">
      <c r="A724"/>
      <c r="B724" s="10" t="str">
        <f>"31876"</f>
        <v>31876</v>
      </c>
      <c r="C724" s="11" t="s">
        <v>722</v>
      </c>
      <c r="D724" s="12">
        <v>22029.0</v>
      </c>
    </row>
    <row r="725" spans="1:4" customHeight="1" ht="130">
      <c r="A725"/>
      <c r="B725" s="10" t="str">
        <f>"31918"</f>
        <v>31918</v>
      </c>
      <c r="C725" s="11" t="s">
        <v>723</v>
      </c>
      <c r="D725" s="12">
        <v>325.0</v>
      </c>
    </row>
    <row r="726" spans="1:4" customHeight="1" ht="130">
      <c r="A726"/>
      <c r="B726" s="10" t="str">
        <f>"32229"</f>
        <v>32229</v>
      </c>
      <c r="C726" s="11" t="s">
        <v>724</v>
      </c>
      <c r="D726" s="12">
        <v>260.0</v>
      </c>
    </row>
    <row r="727" spans="1:4" customHeight="1" ht="130">
      <c r="A727"/>
      <c r="B727" s="10" t="str">
        <f>"32230"</f>
        <v>32230</v>
      </c>
      <c r="C727" s="11" t="s">
        <v>725</v>
      </c>
      <c r="D727" s="12">
        <v>740.0</v>
      </c>
    </row>
    <row r="728" spans="1:4" customHeight="1" ht="130">
      <c r="A728"/>
      <c r="B728" s="10" t="str">
        <f>"32231"</f>
        <v>32231</v>
      </c>
      <c r="C728" s="11" t="s">
        <v>726</v>
      </c>
      <c r="D728" s="12">
        <v>970.0</v>
      </c>
    </row>
    <row r="729" spans="1:4" customHeight="1" ht="130">
      <c r="A729"/>
      <c r="B729" s="10" t="str">
        <f>"32232"</f>
        <v>32232</v>
      </c>
      <c r="C729" s="11" t="s">
        <v>727</v>
      </c>
      <c r="D729" s="12">
        <v>650.0</v>
      </c>
    </row>
    <row r="730" spans="1:4" customHeight="1" ht="130">
      <c r="A730"/>
      <c r="B730" s="10" t="str">
        <f>"32233"</f>
        <v>32233</v>
      </c>
      <c r="C730" s="11" t="s">
        <v>728</v>
      </c>
      <c r="D730" s="12">
        <v>695.0</v>
      </c>
    </row>
    <row r="731" spans="1:4" customHeight="1" ht="130">
      <c r="A731"/>
      <c r="B731" s="10" t="str">
        <f>"32234"</f>
        <v>32234</v>
      </c>
      <c r="C731" s="11" t="s">
        <v>729</v>
      </c>
      <c r="D731" s="12">
        <v>980.0</v>
      </c>
    </row>
    <row r="732" spans="1:4" customHeight="1" ht="130">
      <c r="A732"/>
      <c r="B732" s="10" t="str">
        <f>"32313"</f>
        <v>32313</v>
      </c>
      <c r="C732" s="11" t="s">
        <v>730</v>
      </c>
      <c r="D732" s="12">
        <v>4140.0</v>
      </c>
    </row>
    <row r="733" spans="1:4" customHeight="1" ht="130">
      <c r="A733"/>
      <c r="B733" s="10" t="str">
        <f>"32372"</f>
        <v>32372</v>
      </c>
      <c r="C733" s="11" t="s">
        <v>731</v>
      </c>
      <c r="D733" s="12">
        <v>8766.0</v>
      </c>
    </row>
    <row r="734" spans="1:4" customHeight="1" ht="130">
      <c r="A734"/>
      <c r="B734" s="10" t="str">
        <f>"32568"</f>
        <v>32568</v>
      </c>
      <c r="C734" s="11" t="s">
        <v>732</v>
      </c>
      <c r="D734" s="12">
        <v>2052.0</v>
      </c>
    </row>
    <row r="735" spans="1:4" customHeight="1" ht="130">
      <c r="A735"/>
      <c r="B735" s="10" t="str">
        <f>"32570"</f>
        <v>32570</v>
      </c>
      <c r="C735" s="11" t="s">
        <v>733</v>
      </c>
      <c r="D735" s="12">
        <v>36.0</v>
      </c>
    </row>
    <row r="736" spans="1:4" customHeight="1" ht="130">
      <c r="A736"/>
      <c r="B736" s="10" t="str">
        <f>"32571"</f>
        <v>32571</v>
      </c>
      <c r="C736" s="11" t="s">
        <v>734</v>
      </c>
      <c r="D736" s="12">
        <v>36.0</v>
      </c>
    </row>
    <row r="737" spans="1:4" customHeight="1" ht="130">
      <c r="A737"/>
      <c r="B737" s="10" t="str">
        <f>"32572"</f>
        <v>32572</v>
      </c>
      <c r="C737" s="11" t="s">
        <v>735</v>
      </c>
      <c r="D737" s="12">
        <v>504.0</v>
      </c>
    </row>
    <row r="738" spans="1:4" customHeight="1" ht="130">
      <c r="A738"/>
      <c r="B738" s="10" t="str">
        <f>"32573"</f>
        <v>32573</v>
      </c>
      <c r="C738" s="11" t="s">
        <v>736</v>
      </c>
      <c r="D738" s="12">
        <v>8856.0</v>
      </c>
    </row>
    <row r="739" spans="1:4" customHeight="1" ht="130">
      <c r="A739"/>
      <c r="B739" s="10" t="str">
        <f>"32574"</f>
        <v>32574</v>
      </c>
      <c r="C739" s="11" t="s">
        <v>737</v>
      </c>
      <c r="D739" s="12">
        <v>8082.0</v>
      </c>
    </row>
    <row r="740" spans="1:4" customHeight="1" ht="130">
      <c r="A740"/>
      <c r="B740" s="10" t="str">
        <f>"32577"</f>
        <v>32577</v>
      </c>
      <c r="C740" s="11" t="s">
        <v>738</v>
      </c>
      <c r="D740" s="12">
        <v>738.0</v>
      </c>
    </row>
    <row r="741" spans="1:4" customHeight="1" ht="130">
      <c r="A741"/>
      <c r="B741" s="10" t="str">
        <f>"32580"</f>
        <v>32580</v>
      </c>
      <c r="C741" s="11" t="s">
        <v>739</v>
      </c>
      <c r="D741" s="12">
        <v>1430.0</v>
      </c>
    </row>
    <row r="742" spans="1:4" customHeight="1" ht="130">
      <c r="A742"/>
      <c r="B742" s="10" t="str">
        <f>"32618"</f>
        <v>32618</v>
      </c>
      <c r="C742" s="11" t="s">
        <v>740</v>
      </c>
      <c r="D742" s="12">
        <v>108.0</v>
      </c>
    </row>
    <row r="743" spans="1:4" customHeight="1" ht="130">
      <c r="A743"/>
      <c r="B743" s="10" t="str">
        <f>"32705"</f>
        <v>32705</v>
      </c>
      <c r="C743" s="11" t="s">
        <v>741</v>
      </c>
      <c r="D743" s="12">
        <v>1080.0</v>
      </c>
    </row>
    <row r="744" spans="1:4" customHeight="1" ht="130">
      <c r="A744"/>
      <c r="B744" s="10" t="str">
        <f>"32706"</f>
        <v>32706</v>
      </c>
      <c r="C744" s="11" t="s">
        <v>742</v>
      </c>
      <c r="D744" s="12">
        <v>2232.0</v>
      </c>
    </row>
    <row r="745" spans="1:4" customHeight="1" ht="130">
      <c r="A745"/>
      <c r="B745" s="10" t="str">
        <f>"32707"</f>
        <v>32707</v>
      </c>
      <c r="C745" s="11" t="s">
        <v>743</v>
      </c>
      <c r="D745" s="12">
        <v>1800.0</v>
      </c>
    </row>
    <row r="746" spans="1:4" customHeight="1" ht="130">
      <c r="A746"/>
      <c r="B746" s="10" t="str">
        <f>"32851"</f>
        <v>32851</v>
      </c>
      <c r="C746" s="11" t="s">
        <v>744</v>
      </c>
      <c r="D746" s="12">
        <v>2187.0</v>
      </c>
    </row>
    <row r="747" spans="1:4" customHeight="1" ht="130">
      <c r="A747"/>
      <c r="B747" s="10" t="str">
        <f>"32903"</f>
        <v>32903</v>
      </c>
      <c r="C747" s="11" t="s">
        <v>745</v>
      </c>
      <c r="D747" s="12">
        <v>7680.0</v>
      </c>
    </row>
    <row r="748" spans="1:4" customHeight="1" ht="130">
      <c r="A748"/>
      <c r="B748" s="10" t="str">
        <f>"32904"</f>
        <v>32904</v>
      </c>
      <c r="C748" s="11" t="s">
        <v>746</v>
      </c>
      <c r="D748" s="12">
        <v>80.0</v>
      </c>
    </row>
    <row r="749" spans="1:4" customHeight="1" ht="130">
      <c r="A749"/>
      <c r="B749" s="10" t="str">
        <f>"32905"</f>
        <v>32905</v>
      </c>
      <c r="C749" s="11" t="s">
        <v>747</v>
      </c>
      <c r="D749" s="12">
        <v>80.0</v>
      </c>
    </row>
    <row r="750" spans="1:4" customHeight="1" ht="130">
      <c r="A750"/>
      <c r="B750" s="10" t="str">
        <f>"32914"</f>
        <v>32914</v>
      </c>
      <c r="C750" s="11" t="s">
        <v>748</v>
      </c>
      <c r="D750" s="12">
        <v>360.0</v>
      </c>
    </row>
    <row r="751" spans="1:4" customHeight="1" ht="130">
      <c r="A751"/>
      <c r="B751" s="10" t="str">
        <f>"33050"</f>
        <v>33050</v>
      </c>
      <c r="C751" s="11" t="s">
        <v>749</v>
      </c>
      <c r="D751" s="12">
        <v>760.0</v>
      </c>
    </row>
    <row r="752" spans="1:4" customHeight="1" ht="130">
      <c r="A752"/>
      <c r="B752" s="10" t="str">
        <f>"33091"</f>
        <v>33091</v>
      </c>
      <c r="C752" s="11" t="s">
        <v>750</v>
      </c>
      <c r="D752" s="12">
        <v>1714.0</v>
      </c>
    </row>
    <row r="753" spans="1:4" customHeight="1" ht="130">
      <c r="A753"/>
      <c r="B753" s="10" t="str">
        <f>"33092"</f>
        <v>33092</v>
      </c>
      <c r="C753" s="11" t="s">
        <v>751</v>
      </c>
      <c r="D753" s="12">
        <v>1146.0</v>
      </c>
    </row>
    <row r="754" spans="1:4" customHeight="1" ht="130">
      <c r="A754"/>
      <c r="B754" s="10" t="str">
        <f>"33098"</f>
        <v>33098</v>
      </c>
      <c r="C754" s="11" t="s">
        <v>752</v>
      </c>
      <c r="D754" s="12">
        <v>4212.0</v>
      </c>
    </row>
    <row r="755" spans="1:4" customHeight="1" ht="130">
      <c r="A755"/>
      <c r="B755" s="10" t="str">
        <f>"33099"</f>
        <v>33099</v>
      </c>
      <c r="C755" s="11" t="s">
        <v>753</v>
      </c>
      <c r="D755" s="12">
        <v>6534.0</v>
      </c>
    </row>
    <row r="756" spans="1:4" customHeight="1" ht="130">
      <c r="A756"/>
      <c r="B756" s="10" t="str">
        <f>"33100"</f>
        <v>33100</v>
      </c>
      <c r="C756" s="11" t="s">
        <v>754</v>
      </c>
      <c r="D756" s="12">
        <v>90.0</v>
      </c>
    </row>
    <row r="757" spans="1:4" customHeight="1" ht="130">
      <c r="A757"/>
      <c r="B757" s="10" t="str">
        <f>"33101"</f>
        <v>33101</v>
      </c>
      <c r="C757" s="11" t="s">
        <v>755</v>
      </c>
      <c r="D757" s="12">
        <v>54.0</v>
      </c>
    </row>
    <row r="758" spans="1:4" customHeight="1" ht="130">
      <c r="A758"/>
      <c r="B758" s="10" t="str">
        <f>"33142"</f>
        <v>33142</v>
      </c>
      <c r="C758" s="11" t="s">
        <v>756</v>
      </c>
      <c r="D758" s="12">
        <v>630.0</v>
      </c>
    </row>
    <row r="759" spans="1:4" customHeight="1" ht="130">
      <c r="A759"/>
      <c r="B759" s="10" t="str">
        <f>"33333"</f>
        <v>33333</v>
      </c>
      <c r="C759" s="11" t="s">
        <v>757</v>
      </c>
      <c r="D759" s="12">
        <v>16382.0</v>
      </c>
    </row>
    <row r="760" spans="1:4" customHeight="1" ht="130">
      <c r="A760"/>
      <c r="B760" s="10" t="str">
        <f>"33334"</f>
        <v>33334</v>
      </c>
      <c r="C760" s="11" t="s">
        <v>758</v>
      </c>
      <c r="D760" s="12">
        <v>7391.0</v>
      </c>
    </row>
    <row r="761" spans="1:4" customHeight="1" ht="130">
      <c r="A761"/>
      <c r="B761" s="10" t="str">
        <f>"33336"</f>
        <v>33336</v>
      </c>
      <c r="C761" s="11" t="s">
        <v>759</v>
      </c>
      <c r="D761" s="12">
        <v>796.0</v>
      </c>
    </row>
    <row r="762" spans="1:4" customHeight="1" ht="130">
      <c r="A762"/>
      <c r="B762" s="10" t="str">
        <f>"33337"</f>
        <v>33337</v>
      </c>
      <c r="C762" s="11" t="s">
        <v>760</v>
      </c>
      <c r="D762" s="12">
        <v>2105.0</v>
      </c>
    </row>
    <row r="763" spans="1:4" customHeight="1" ht="130">
      <c r="A763"/>
      <c r="B763" s="10" t="str">
        <f>"33338"</f>
        <v>33338</v>
      </c>
      <c r="C763" s="11" t="s">
        <v>761</v>
      </c>
      <c r="D763" s="12">
        <v>5736.0</v>
      </c>
    </row>
    <row r="764" spans="1:4" customHeight="1" ht="130">
      <c r="A764"/>
      <c r="B764" s="10" t="str">
        <f>"33340"</f>
        <v>33340</v>
      </c>
      <c r="C764" s="11" t="s">
        <v>762</v>
      </c>
      <c r="D764" s="12">
        <v>231.0</v>
      </c>
    </row>
    <row r="765" spans="1:4" customHeight="1" ht="130">
      <c r="A765"/>
      <c r="B765" s="10" t="str">
        <f>"33341"</f>
        <v>33341</v>
      </c>
      <c r="C765" s="11" t="s">
        <v>763</v>
      </c>
      <c r="D765" s="12">
        <v>231.0</v>
      </c>
    </row>
    <row r="766" spans="1:4" customHeight="1" ht="130">
      <c r="A766"/>
      <c r="B766" s="10" t="str">
        <f>"33342"</f>
        <v>33342</v>
      </c>
      <c r="C766" s="11" t="s">
        <v>764</v>
      </c>
      <c r="D766" s="12">
        <v>2406.0</v>
      </c>
    </row>
    <row r="767" spans="1:4" customHeight="1" ht="130">
      <c r="A767"/>
      <c r="B767" s="10" t="str">
        <f>"33343"</f>
        <v>33343</v>
      </c>
      <c r="C767" s="11" t="s">
        <v>765</v>
      </c>
      <c r="D767" s="12">
        <v>4766.0</v>
      </c>
    </row>
    <row r="768" spans="1:4" customHeight="1" ht="130">
      <c r="A768"/>
      <c r="B768" s="10" t="str">
        <f>"33344"</f>
        <v>33344</v>
      </c>
      <c r="C768" s="11" t="s">
        <v>766</v>
      </c>
      <c r="D768" s="12">
        <v>4889.0</v>
      </c>
    </row>
    <row r="769" spans="1:4" customHeight="1" ht="130">
      <c r="A769"/>
      <c r="B769" s="10" t="str">
        <f>"33345"</f>
        <v>33345</v>
      </c>
      <c r="C769" s="11" t="s">
        <v>767</v>
      </c>
      <c r="D769" s="12">
        <v>1950.0</v>
      </c>
    </row>
    <row r="770" spans="1:4" customHeight="1" ht="130">
      <c r="A770"/>
      <c r="B770" s="10" t="str">
        <f>"33346"</f>
        <v>33346</v>
      </c>
      <c r="C770" s="11" t="s">
        <v>768</v>
      </c>
      <c r="D770" s="12">
        <v>2215.0</v>
      </c>
    </row>
    <row r="771" spans="1:4" customHeight="1" ht="130">
      <c r="A771"/>
      <c r="B771" s="10" t="str">
        <f>"33347"</f>
        <v>33347</v>
      </c>
      <c r="C771" s="11" t="s">
        <v>769</v>
      </c>
      <c r="D771" s="12">
        <v>1045.0</v>
      </c>
    </row>
    <row r="772" spans="1:4" customHeight="1" ht="130">
      <c r="A772"/>
      <c r="B772" s="10" t="str">
        <f>"33348"</f>
        <v>33348</v>
      </c>
      <c r="C772" s="11" t="s">
        <v>770</v>
      </c>
      <c r="D772" s="12">
        <v>8921.0</v>
      </c>
    </row>
    <row r="773" spans="1:4" customHeight="1" ht="130">
      <c r="A773"/>
      <c r="B773" s="10" t="str">
        <f>"33349"</f>
        <v>33349</v>
      </c>
      <c r="C773" s="11" t="s">
        <v>771</v>
      </c>
      <c r="D773" s="12">
        <v>5140.0</v>
      </c>
    </row>
    <row r="774" spans="1:4" customHeight="1" ht="130">
      <c r="A774"/>
      <c r="B774" s="10" t="str">
        <f>"33350"</f>
        <v>33350</v>
      </c>
      <c r="C774" s="11" t="s">
        <v>772</v>
      </c>
      <c r="D774" s="12">
        <v>3801.0</v>
      </c>
    </row>
    <row r="775" spans="1:4" customHeight="1" ht="130">
      <c r="A775"/>
      <c r="B775" s="10" t="str">
        <f>"33353"</f>
        <v>33353</v>
      </c>
      <c r="C775" s="11" t="s">
        <v>773</v>
      </c>
      <c r="D775" s="12">
        <v>3045.0</v>
      </c>
    </row>
    <row r="776" spans="1:4" customHeight="1" ht="130">
      <c r="A776"/>
      <c r="B776" s="10" t="str">
        <f>"33354"</f>
        <v>33354</v>
      </c>
      <c r="C776" s="11" t="s">
        <v>774</v>
      </c>
      <c r="D776" s="12">
        <v>4229.0</v>
      </c>
    </row>
    <row r="777" spans="1:4" customHeight="1" ht="130">
      <c r="A777"/>
      <c r="B777" s="10" t="str">
        <f>"33356"</f>
        <v>33356</v>
      </c>
      <c r="C777" s="11" t="s">
        <v>775</v>
      </c>
      <c r="D777" s="12">
        <v>6813.0</v>
      </c>
    </row>
    <row r="778" spans="1:4" customHeight="1" ht="130">
      <c r="A778"/>
      <c r="B778" s="10" t="str">
        <f>"33357"</f>
        <v>33357</v>
      </c>
      <c r="C778" s="11" t="s">
        <v>776</v>
      </c>
      <c r="D778" s="12">
        <v>7793.0</v>
      </c>
    </row>
    <row r="779" spans="1:4" customHeight="1" ht="130">
      <c r="A779"/>
      <c r="B779" s="10" t="str">
        <f>"33359"</f>
        <v>33359</v>
      </c>
      <c r="C779" s="11" t="s">
        <v>777</v>
      </c>
      <c r="D779" s="12">
        <v>10509.0</v>
      </c>
    </row>
    <row r="780" spans="1:4" customHeight="1" ht="130">
      <c r="A780"/>
      <c r="B780" s="10" t="str">
        <f>"33360"</f>
        <v>33360</v>
      </c>
      <c r="C780" s="11" t="s">
        <v>778</v>
      </c>
      <c r="D780" s="12">
        <v>10633.0</v>
      </c>
    </row>
    <row r="781" spans="1:4" customHeight="1" ht="130">
      <c r="A781"/>
      <c r="B781" s="10" t="str">
        <f>"33361"</f>
        <v>33361</v>
      </c>
      <c r="C781" s="11" t="s">
        <v>779</v>
      </c>
      <c r="D781" s="12">
        <v>10776.0</v>
      </c>
    </row>
    <row r="782" spans="1:4" customHeight="1" ht="130">
      <c r="A782"/>
      <c r="B782" s="10" t="str">
        <f>"33362"</f>
        <v>33362</v>
      </c>
      <c r="C782" s="11" t="s">
        <v>780</v>
      </c>
      <c r="D782" s="12">
        <v>4226.0</v>
      </c>
    </row>
    <row r="783" spans="1:4" customHeight="1" ht="130">
      <c r="A783"/>
      <c r="B783" s="10" t="str">
        <f>"33365"</f>
        <v>33365</v>
      </c>
      <c r="C783" s="11" t="s">
        <v>781</v>
      </c>
      <c r="D783" s="12">
        <v>5022.0</v>
      </c>
    </row>
    <row r="784" spans="1:4" customHeight="1" ht="130">
      <c r="A784"/>
      <c r="B784" s="10" t="str">
        <f>"33366"</f>
        <v>33366</v>
      </c>
      <c r="C784" s="11" t="s">
        <v>782</v>
      </c>
      <c r="D784" s="12">
        <v>5197.0</v>
      </c>
    </row>
    <row r="785" spans="1:4" customHeight="1" ht="130">
      <c r="A785"/>
      <c r="B785" s="10" t="str">
        <f>"33367"</f>
        <v>33367</v>
      </c>
      <c r="C785" s="11" t="s">
        <v>783</v>
      </c>
      <c r="D785" s="12">
        <v>5176.0</v>
      </c>
    </row>
    <row r="786" spans="1:4" customHeight="1" ht="130">
      <c r="A786"/>
      <c r="B786" s="10" t="str">
        <f>"33368"</f>
        <v>33368</v>
      </c>
      <c r="C786" s="11" t="s">
        <v>784</v>
      </c>
      <c r="D786" s="12">
        <v>5271.0</v>
      </c>
    </row>
    <row r="787" spans="1:4" customHeight="1" ht="130">
      <c r="A787"/>
      <c r="B787" s="10" t="str">
        <f>"33369"</f>
        <v>33369</v>
      </c>
      <c r="C787" s="11" t="s">
        <v>785</v>
      </c>
      <c r="D787" s="12">
        <v>8896.0</v>
      </c>
    </row>
    <row r="788" spans="1:4" customHeight="1" ht="130">
      <c r="A788"/>
      <c r="B788" s="10" t="str">
        <f>"33370"</f>
        <v>33370</v>
      </c>
      <c r="C788" s="11" t="s">
        <v>786</v>
      </c>
      <c r="D788" s="12">
        <v>2508.0</v>
      </c>
    </row>
    <row r="789" spans="1:4" customHeight="1" ht="130">
      <c r="A789"/>
      <c r="B789" s="10" t="str">
        <f>"33378"</f>
        <v>33378</v>
      </c>
      <c r="C789" s="11" t="s">
        <v>787</v>
      </c>
      <c r="D789" s="12">
        <v>11592.0</v>
      </c>
    </row>
    <row r="790" spans="1:4" customHeight="1" ht="130">
      <c r="A790"/>
      <c r="B790" s="10" t="str">
        <f>"33571"</f>
        <v>33571</v>
      </c>
      <c r="C790" s="11" t="s">
        <v>788</v>
      </c>
      <c r="D790" s="12">
        <v>4410.0</v>
      </c>
    </row>
    <row r="791" spans="1:4" customHeight="1" ht="130">
      <c r="A791"/>
      <c r="B791" s="10" t="str">
        <f>"33572"</f>
        <v>33572</v>
      </c>
      <c r="C791" s="11" t="s">
        <v>789</v>
      </c>
      <c r="D791" s="12">
        <v>6822.0</v>
      </c>
    </row>
    <row r="792" spans="1:4" customHeight="1" ht="130">
      <c r="A792"/>
      <c r="B792" s="10" t="str">
        <f>"33629"</f>
        <v>33629</v>
      </c>
      <c r="C792" s="11" t="s">
        <v>790</v>
      </c>
      <c r="D792" s="12">
        <v>104.0</v>
      </c>
    </row>
    <row r="793" spans="1:4" customHeight="1" ht="130">
      <c r="A793"/>
      <c r="B793" s="10" t="str">
        <f>"33635"</f>
        <v>33635</v>
      </c>
      <c r="C793" s="11" t="s">
        <v>791</v>
      </c>
      <c r="D793" s="12">
        <v>2214.0</v>
      </c>
    </row>
    <row r="794" spans="1:4" customHeight="1" ht="130">
      <c r="A794"/>
      <c r="B794" s="10" t="str">
        <f>"33636"</f>
        <v>33636</v>
      </c>
      <c r="C794" s="11" t="s">
        <v>792</v>
      </c>
      <c r="D794" s="12">
        <v>2358.0</v>
      </c>
    </row>
    <row r="795" spans="1:4" customHeight="1" ht="130">
      <c r="A795"/>
      <c r="B795" s="10" t="str">
        <f>"33765"</f>
        <v>33765</v>
      </c>
      <c r="C795" s="11" t="s">
        <v>793</v>
      </c>
      <c r="D795" s="12">
        <v>936.0</v>
      </c>
    </row>
    <row r="796" spans="1:4" customHeight="1" ht="130">
      <c r="A796"/>
      <c r="B796" s="10" t="str">
        <f>"33766"</f>
        <v>33766</v>
      </c>
      <c r="C796" s="11" t="s">
        <v>794</v>
      </c>
      <c r="D796" s="12">
        <v>954.0</v>
      </c>
    </row>
    <row r="797" spans="1:4" customHeight="1" ht="130">
      <c r="A797"/>
      <c r="B797" s="10" t="str">
        <f>"33767"</f>
        <v>33767</v>
      </c>
      <c r="C797" s="11" t="s">
        <v>795</v>
      </c>
      <c r="D797" s="12">
        <v>4158.0</v>
      </c>
    </row>
    <row r="798" spans="1:4" customHeight="1" ht="130">
      <c r="A798"/>
      <c r="B798" s="10" t="str">
        <f>"33769"</f>
        <v>33769</v>
      </c>
      <c r="C798" s="11" t="s">
        <v>796</v>
      </c>
      <c r="D798" s="12">
        <v>4500.0</v>
      </c>
    </row>
    <row r="799" spans="1:4" customHeight="1" ht="130">
      <c r="A799"/>
      <c r="B799" s="10" t="str">
        <f>"33770"</f>
        <v>33770</v>
      </c>
      <c r="C799" s="11" t="s">
        <v>797</v>
      </c>
      <c r="D799" s="12">
        <v>2664.0</v>
      </c>
    </row>
    <row r="800" spans="1:4" customHeight="1" ht="130">
      <c r="A800"/>
      <c r="B800" s="10" t="str">
        <f>"33786"</f>
        <v>33786</v>
      </c>
      <c r="C800" s="11" t="s">
        <v>798</v>
      </c>
      <c r="D800" s="12">
        <v>325.0</v>
      </c>
    </row>
    <row r="801" spans="1:4" customHeight="1" ht="130">
      <c r="A801"/>
      <c r="B801" s="10" t="str">
        <f>"33895"</f>
        <v>33895</v>
      </c>
      <c r="C801" s="11" t="s">
        <v>799</v>
      </c>
      <c r="D801" s="12">
        <v>2862.0</v>
      </c>
    </row>
    <row r="802" spans="1:4" customHeight="1" ht="130">
      <c r="A802"/>
      <c r="B802" s="10" t="str">
        <f>"33900"</f>
        <v>33900</v>
      </c>
      <c r="C802" s="11" t="s">
        <v>800</v>
      </c>
      <c r="D802" s="12">
        <v>300.0</v>
      </c>
    </row>
    <row r="803" spans="1:4" customHeight="1" ht="130">
      <c r="A803"/>
      <c r="B803" s="10" t="str">
        <f>"34076"</f>
        <v>34076</v>
      </c>
      <c r="C803" s="11" t="s">
        <v>801</v>
      </c>
      <c r="D803" s="12">
        <v>11592.0</v>
      </c>
    </row>
    <row r="804" spans="1:4" customHeight="1" ht="130">
      <c r="A804"/>
      <c r="B804" s="10" t="str">
        <f>"34077"</f>
        <v>34077</v>
      </c>
      <c r="C804" s="11" t="s">
        <v>802</v>
      </c>
      <c r="D804" s="12">
        <v>6786.0</v>
      </c>
    </row>
    <row r="805" spans="1:4" customHeight="1" ht="130">
      <c r="A805"/>
      <c r="B805" s="10" t="str">
        <f>"34078"</f>
        <v>34078</v>
      </c>
      <c r="C805" s="11" t="s">
        <v>803</v>
      </c>
      <c r="D805" s="12">
        <v>4482.0</v>
      </c>
    </row>
    <row r="806" spans="1:4" customHeight="1" ht="130">
      <c r="A806"/>
      <c r="B806" s="10" t="str">
        <f>"34165"</f>
        <v>34165</v>
      </c>
      <c r="C806" s="11" t="s">
        <v>804</v>
      </c>
      <c r="D806" s="12">
        <v>345.0</v>
      </c>
    </row>
    <row r="807" spans="1:4" customHeight="1" ht="130">
      <c r="A807"/>
      <c r="B807" s="10" t="str">
        <f>"34174"</f>
        <v>34174</v>
      </c>
      <c r="C807" s="11" t="s">
        <v>805</v>
      </c>
      <c r="D807" s="12">
        <v>560.0</v>
      </c>
    </row>
    <row r="808" spans="1:4" customHeight="1" ht="130">
      <c r="A808"/>
      <c r="B808" s="10" t="str">
        <f>"34227"</f>
        <v>34227</v>
      </c>
      <c r="C808" s="11" t="s">
        <v>806</v>
      </c>
      <c r="D808" s="12">
        <v>8226.0</v>
      </c>
    </row>
    <row r="809" spans="1:4" customHeight="1" ht="130">
      <c r="A809"/>
      <c r="B809" s="10" t="str">
        <f>"34228"</f>
        <v>34228</v>
      </c>
      <c r="C809" s="11" t="s">
        <v>807</v>
      </c>
      <c r="D809" s="12">
        <v>882.0</v>
      </c>
    </row>
    <row r="810" spans="1:4" customHeight="1" ht="130">
      <c r="A810"/>
      <c r="B810" s="10" t="str">
        <f>"34229"</f>
        <v>34229</v>
      </c>
      <c r="C810" s="11" t="s">
        <v>808</v>
      </c>
      <c r="D810" s="12">
        <v>2412.0</v>
      </c>
    </row>
    <row r="811" spans="1:4" customHeight="1" ht="130">
      <c r="A811"/>
      <c r="B811" s="10" t="str">
        <f>"34300"</f>
        <v>34300</v>
      </c>
      <c r="C811" s="11" t="s">
        <v>809</v>
      </c>
      <c r="D811" s="12">
        <v>650.0</v>
      </c>
    </row>
    <row r="812" spans="1:4" customHeight="1" ht="130">
      <c r="A812"/>
      <c r="B812" s="10" t="str">
        <f>"34307"</f>
        <v>34307</v>
      </c>
      <c r="C812" s="11" t="s">
        <v>810</v>
      </c>
      <c r="D812" s="12">
        <v>2052.0</v>
      </c>
    </row>
    <row r="813" spans="1:4" customHeight="1" ht="130">
      <c r="A813"/>
      <c r="B813" s="10" t="str">
        <f>"34309"</f>
        <v>34309</v>
      </c>
      <c r="C813" s="11" t="s">
        <v>811</v>
      </c>
      <c r="D813" s="12">
        <v>2340.0</v>
      </c>
    </row>
    <row r="814" spans="1:4" customHeight="1" ht="130">
      <c r="A814"/>
      <c r="B814" s="10" t="str">
        <f>"34311"</f>
        <v>34311</v>
      </c>
      <c r="C814" s="11" t="s">
        <v>812</v>
      </c>
      <c r="D814" s="12">
        <v>6012.0</v>
      </c>
    </row>
    <row r="815" spans="1:4" customHeight="1" ht="130">
      <c r="A815"/>
      <c r="B815" s="10" t="str">
        <f>"34312"</f>
        <v>34312</v>
      </c>
      <c r="C815" s="11" t="s">
        <v>813</v>
      </c>
      <c r="D815" s="12">
        <v>2214.0</v>
      </c>
    </row>
    <row r="816" spans="1:4" customHeight="1" ht="130">
      <c r="A816"/>
      <c r="B816" s="10" t="str">
        <f>"34316"</f>
        <v>34316</v>
      </c>
      <c r="C816" s="11" t="s">
        <v>814</v>
      </c>
      <c r="D816" s="12">
        <v>4158.0</v>
      </c>
    </row>
    <row r="817" spans="1:4" customHeight="1" ht="130">
      <c r="A817"/>
      <c r="B817" s="10" t="str">
        <f>"34317"</f>
        <v>34317</v>
      </c>
      <c r="C817" s="11" t="s">
        <v>815</v>
      </c>
      <c r="D817" s="12">
        <v>4140.0</v>
      </c>
    </row>
    <row r="818" spans="1:4" customHeight="1" ht="130">
      <c r="A818"/>
      <c r="B818" s="10" t="str">
        <f>"34318"</f>
        <v>34318</v>
      </c>
      <c r="C818" s="11" t="s">
        <v>816</v>
      </c>
      <c r="D818" s="12">
        <v>108.0</v>
      </c>
    </row>
    <row r="819" spans="1:4" customHeight="1" ht="130">
      <c r="A819"/>
      <c r="B819" s="10" t="str">
        <f>"34319"</f>
        <v>34319</v>
      </c>
      <c r="C819" s="11" t="s">
        <v>817</v>
      </c>
      <c r="D819" s="12">
        <v>36.0</v>
      </c>
    </row>
    <row r="820" spans="1:4" customHeight="1" ht="130">
      <c r="A820"/>
      <c r="B820" s="10" t="str">
        <f>"34320"</f>
        <v>34320</v>
      </c>
      <c r="C820" s="11" t="s">
        <v>818</v>
      </c>
      <c r="D820" s="12">
        <v>126.0</v>
      </c>
    </row>
    <row r="821" spans="1:4" customHeight="1" ht="130">
      <c r="A821"/>
      <c r="B821" s="10" t="str">
        <f>"34321"</f>
        <v>34321</v>
      </c>
      <c r="C821" s="11" t="s">
        <v>819</v>
      </c>
      <c r="D821" s="12">
        <v>450.0</v>
      </c>
    </row>
    <row r="822" spans="1:4" customHeight="1" ht="130">
      <c r="A822"/>
      <c r="B822" s="10" t="str">
        <f>"34322"</f>
        <v>34322</v>
      </c>
      <c r="C822" s="11" t="s">
        <v>820</v>
      </c>
      <c r="D822" s="12">
        <v>144.0</v>
      </c>
    </row>
    <row r="823" spans="1:4" customHeight="1" ht="130">
      <c r="A823"/>
      <c r="B823" s="10" t="str">
        <f>"34324"</f>
        <v>34324</v>
      </c>
      <c r="C823" s="11" t="s">
        <v>821</v>
      </c>
      <c r="D823" s="12">
        <v>108.0</v>
      </c>
    </row>
    <row r="824" spans="1:4" customHeight="1" ht="130">
      <c r="A824"/>
      <c r="B824" s="10" t="str">
        <f>"34325"</f>
        <v>34325</v>
      </c>
      <c r="C824" s="11" t="s">
        <v>822</v>
      </c>
      <c r="D824" s="12">
        <v>126.0</v>
      </c>
    </row>
    <row r="825" spans="1:4" customHeight="1" ht="130">
      <c r="A825"/>
      <c r="B825" s="10" t="str">
        <f>"34326"</f>
        <v>34326</v>
      </c>
      <c r="C825" s="11" t="s">
        <v>823</v>
      </c>
      <c r="D825" s="12">
        <v>144.0</v>
      </c>
    </row>
    <row r="826" spans="1:4" customHeight="1" ht="130">
      <c r="A826"/>
      <c r="B826" s="10" t="str">
        <f>"34327"</f>
        <v>34327</v>
      </c>
      <c r="C826" s="11" t="s">
        <v>824</v>
      </c>
      <c r="D826" s="12">
        <v>36.0</v>
      </c>
    </row>
    <row r="827" spans="1:4" customHeight="1" ht="130">
      <c r="A827"/>
      <c r="B827" s="10" t="str">
        <f>"34329"</f>
        <v>34329</v>
      </c>
      <c r="C827" s="11" t="s">
        <v>825</v>
      </c>
      <c r="D827" s="12">
        <v>288.0</v>
      </c>
    </row>
    <row r="828" spans="1:4" customHeight="1" ht="130">
      <c r="A828"/>
      <c r="B828" s="10" t="str">
        <f>"34406"</f>
        <v>34406</v>
      </c>
      <c r="C828" s="11" t="s">
        <v>826</v>
      </c>
      <c r="D828" s="12">
        <v>370.0</v>
      </c>
    </row>
    <row r="829" spans="1:4" customHeight="1" ht="130">
      <c r="A829"/>
      <c r="B829" s="10" t="str">
        <f>"34436"</f>
        <v>34436</v>
      </c>
      <c r="C829" s="11" t="s">
        <v>827</v>
      </c>
      <c r="D829" s="12">
        <v>576.0</v>
      </c>
    </row>
    <row r="830" spans="1:4" customHeight="1" ht="130">
      <c r="A830"/>
      <c r="B830" s="10" t="str">
        <f>"34438"</f>
        <v>34438</v>
      </c>
      <c r="C830" s="11" t="s">
        <v>828</v>
      </c>
      <c r="D830" s="12">
        <v>3096.0</v>
      </c>
    </row>
    <row r="831" spans="1:4" customHeight="1" ht="130">
      <c r="A831"/>
      <c r="B831" s="10" t="str">
        <f>"34439"</f>
        <v>34439</v>
      </c>
      <c r="C831" s="11" t="s">
        <v>829</v>
      </c>
      <c r="D831" s="12">
        <v>6300.0</v>
      </c>
    </row>
    <row r="832" spans="1:4" customHeight="1" ht="130">
      <c r="A832"/>
      <c r="B832" s="10" t="str">
        <f>"34440"</f>
        <v>34440</v>
      </c>
      <c r="C832" s="11" t="s">
        <v>830</v>
      </c>
      <c r="D832" s="12">
        <v>6516.0</v>
      </c>
    </row>
    <row r="833" spans="1:4" customHeight="1" ht="130">
      <c r="A833"/>
      <c r="B833" s="10" t="str">
        <f>"34441"</f>
        <v>34441</v>
      </c>
      <c r="C833" s="11" t="s">
        <v>831</v>
      </c>
      <c r="D833" s="12">
        <v>126.0</v>
      </c>
    </row>
    <row r="834" spans="1:4" customHeight="1" ht="130">
      <c r="A834"/>
      <c r="B834" s="10" t="str">
        <f>"34442"</f>
        <v>34442</v>
      </c>
      <c r="C834" s="11" t="s">
        <v>832</v>
      </c>
      <c r="D834" s="12">
        <v>72.0</v>
      </c>
    </row>
    <row r="835" spans="1:4" customHeight="1" ht="130">
      <c r="A835"/>
      <c r="B835" s="10" t="str">
        <f>"34464"</f>
        <v>34464</v>
      </c>
      <c r="C835" s="11" t="s">
        <v>833</v>
      </c>
      <c r="D835" s="12">
        <v>700.0</v>
      </c>
    </row>
    <row r="836" spans="1:4" customHeight="1" ht="130">
      <c r="A836"/>
      <c r="B836" s="10" t="str">
        <f>"34465"</f>
        <v>34465</v>
      </c>
      <c r="C836" s="11" t="s">
        <v>834</v>
      </c>
      <c r="D836" s="12">
        <v>760.0</v>
      </c>
    </row>
    <row r="837" spans="1:4" customHeight="1" ht="130">
      <c r="A837"/>
      <c r="B837" s="10" t="str">
        <f>"34475"</f>
        <v>34475</v>
      </c>
      <c r="C837" s="11" t="s">
        <v>835</v>
      </c>
      <c r="D837" s="12">
        <v>954.0</v>
      </c>
    </row>
    <row r="838" spans="1:4" customHeight="1" ht="130">
      <c r="A838"/>
      <c r="B838" s="10" t="str">
        <f>"34476"</f>
        <v>34476</v>
      </c>
      <c r="C838" s="11" t="s">
        <v>836</v>
      </c>
      <c r="D838" s="12">
        <v>12060.0</v>
      </c>
    </row>
    <row r="839" spans="1:4" customHeight="1" ht="130">
      <c r="A839"/>
      <c r="B839" s="10" t="str">
        <f>"34508"</f>
        <v>34508</v>
      </c>
      <c r="C839" s="11" t="s">
        <v>837</v>
      </c>
      <c r="D839" s="12">
        <v>126.0</v>
      </c>
    </row>
    <row r="840" spans="1:4" customHeight="1" ht="130">
      <c r="A840"/>
      <c r="B840" s="10" t="str">
        <f>"34540"</f>
        <v>34540</v>
      </c>
      <c r="C840" s="11" t="s">
        <v>838</v>
      </c>
      <c r="D840" s="12">
        <v>3042.0</v>
      </c>
    </row>
    <row r="841" spans="1:4" customHeight="1" ht="130">
      <c r="A841"/>
      <c r="B841" s="10" t="str">
        <f>"34573"</f>
        <v>34573</v>
      </c>
      <c r="C841" s="11" t="s">
        <v>839</v>
      </c>
      <c r="D841" s="12">
        <v>380.0</v>
      </c>
    </row>
    <row r="842" spans="1:4" customHeight="1" ht="130">
      <c r="A842"/>
      <c r="B842" s="10" t="str">
        <f>"34605"</f>
        <v>34605</v>
      </c>
      <c r="C842" s="11" t="s">
        <v>840</v>
      </c>
      <c r="D842" s="12">
        <v>750.0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